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80" windowWidth="15480" windowHeight="11580" tabRatio="690" activeTab="2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Abril!$A$1:$N$50</definedName>
    <definedName name="_xlnm.Print_Area" localSheetId="7">Agosto!$A$1:$O$50</definedName>
    <definedName name="_xlnm.Print_Area" localSheetId="0">Enero!$A$1:$M$50</definedName>
    <definedName name="_xlnm.Print_Area" localSheetId="1">Febrero!$A$1:$O$50</definedName>
    <definedName name="_xlnm.Print_Area" localSheetId="6">Julio!$A$1:$N$50</definedName>
    <definedName name="_xlnm.Print_Area" localSheetId="5">Junio!$A$1:$N$50</definedName>
    <definedName name="_xlnm.Print_Area" localSheetId="2">Marzo!$A$1:$O$50</definedName>
    <definedName name="_xlnm.Print_Area" localSheetId="4">Mayo!$A$1:$N$50</definedName>
    <definedName name="_xlnm.Print_Area" localSheetId="8">Septiembre!$A$1:$N$50</definedName>
    <definedName name="DíasDeTareas" localSheetId="3">Abril!$L$4:$L$33</definedName>
    <definedName name="DíasDeTareas" localSheetId="7">Agosto!$L$4:$L$33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8">Septiembre!$L$4:$M$8</definedName>
    <definedName name="TablaFechasImportantes">Enero!$L$4:$M$8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<sst xmlns="http://schemas.openxmlformats.org/spreadsheetml/2006/main" count="198" uniqueCount="30">
  <si>
    <t>S</t>
  </si>
  <si>
    <t>M</t>
  </si>
  <si>
    <t>TAREAS</t>
  </si>
  <si>
    <t>ENERO</t>
  </si>
  <si>
    <t>L</t>
  </si>
  <si>
    <t>X</t>
  </si>
  <si>
    <t>J</t>
  </si>
  <si>
    <t>V</t>
  </si>
  <si>
    <t>D</t>
  </si>
  <si>
    <t>HORARIO SEMANAL</t>
  </si>
  <si>
    <t>LUN</t>
  </si>
  <si>
    <t>MAR</t>
  </si>
  <si>
    <t>MIÉ</t>
  </si>
  <si>
    <t>JUE</t>
  </si>
  <si>
    <t>VIE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</si>
  <si>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</si>
  <si>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</si>
  <si>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</si>
  <si>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</si>
  <si>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</si>
  <si>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</si>
  <si>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</si>
  <si>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</si>
  <si>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Nota:  las actividades frecuentes de la unidad de Transparencia son: contestar solicitudes de informacion, proteccion de datos personales, solucion a Recursos,asesoria a áreas del ayuntamiento, comunicación con el ITEI, estadisticas.</t>
  </si>
  <si>
    <t>del 25 febrero al 06 de marzo apoyo en eventos de carnaval 2019</t>
  </si>
  <si>
    <t>Nota:  las actividades frecuentes de la unidad de Transparencia son: contestar solicitudes de informacion, proteccion de datos personales, solucion a Recursos,asesoria a áreas del ayuntamiento, comunicación con el ITEI, estadisticas, sabado 23 reunion casa de la cultura con Maguistrada y diputada Irma de Anda.</t>
  </si>
  <si>
    <t xml:space="preserve">Actualización de la página web, Contestación a Recurso, Recepción de solicitudes de transparencia, Contestación a solicitudes de transparencia, Indizar,  Actualizar página de PNT, Asesoría a compañeros directores, regidores, agentes y delegados, oficios del mes, scaneo para E-R. </t>
  </si>
  <si>
    <t>I.S.O  del Comité de Transparencia</t>
  </si>
  <si>
    <t>III.S.E del Comité de Transparencia</t>
  </si>
  <si>
    <t>I.S.E  y II.S.E. del Comité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</si>
</sst>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5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8.5"/>
      <color rgb="FFFF0000"/>
      <name val="Arial"/>
      <family val="2"/>
      <scheme val="minor"/>
    </font>
    <font>
      <sz val="8.5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98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18" fillId="0" borderId="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3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8" fillId="0" borderId="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0" fontId="12" fillId="4" borderId="16" xfId="0" applyFont="1" applyFill="1" applyBorder="1" applyAlignment="1">
      <alignment horizontal="left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49" fontId="23" fillId="5" borderId="45" xfId="0" applyNumberFormat="1" applyFont="1" applyFill="1" applyBorder="1" applyAlignment="1">
      <alignment horizontal="center" vertical="top" wrapText="1"/>
    </xf>
    <xf numFmtId="49" fontId="23" fillId="5" borderId="46" xfId="0" applyNumberFormat="1" applyFont="1" applyFill="1" applyBorder="1" applyAlignment="1">
      <alignment horizontal="center" vertical="top" wrapText="1"/>
    </xf>
    <xf numFmtId="49" fontId="23" fillId="5" borderId="28" xfId="0" applyNumberFormat="1" applyFont="1" applyFill="1" applyBorder="1" applyAlignment="1">
      <alignment horizontal="center" vertical="top" wrapText="1"/>
    </xf>
    <xf numFmtId="49" fontId="23" fillId="5" borderId="7" xfId="0" applyNumberFormat="1" applyFont="1" applyFill="1" applyBorder="1" applyAlignment="1">
      <alignment horizontal="center" vertical="top" wrapText="1"/>
    </xf>
    <xf numFmtId="49" fontId="23" fillId="5" borderId="0" xfId="0" applyNumberFormat="1" applyFont="1" applyFill="1" applyBorder="1" applyAlignment="1">
      <alignment horizontal="center" vertical="top" wrapText="1"/>
    </xf>
    <xf numFmtId="49" fontId="23" fillId="5" borderId="16" xfId="0" applyNumberFormat="1" applyFont="1" applyFill="1" applyBorder="1" applyAlignment="1">
      <alignment horizontal="center" vertical="top" wrapText="1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0" fontId="18" fillId="0" borderId="3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24" fillId="5" borderId="42" xfId="0" applyFont="1" applyFill="1" applyBorder="1" applyAlignment="1">
      <alignment horizontal="center" vertical="top"/>
    </xf>
    <xf numFmtId="0" fontId="24" fillId="5" borderId="14" xfId="0" applyFont="1" applyFill="1" applyBorder="1" applyAlignment="1">
      <alignment horizontal="center" vertical="top"/>
    </xf>
    <xf numFmtId="0" fontId="24" fillId="5" borderId="15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17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5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55"/>
      <tableStyleElement type="headerRow" dxfId="54"/>
      <tableStyleElement type="totalRow" dxfId="53"/>
      <tableStyleElement type="firstColumn" dxfId="52"/>
      <tableStyleElement type="lastColumn" dxfId="51"/>
      <tableStyleElement type="firstRowStripe" dxfId="50"/>
      <tableStyleElement type="firstColumnStripe" dxfId="49"/>
    </tableStyle>
    <tableStyle name="TableStyleLight9 2" pivot="0" count="4">
      <tableStyleElement type="wholeTable" dxfId="48"/>
      <tableStyleElement type="headerRow" dxfId="47"/>
      <tableStyleElement type="totalRow" dxfId="46"/>
      <tableStyleElement type="firstColumn" dxfId="45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Spin" dx="16" fmlaLink="$N$2" max="2999" min="1900" page="10" val="202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4" zoomScaleNormal="100" zoomScalePageLayoutView="84" workbookViewId="0">
      <selection activeCell="M6" sqref="M6:N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3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57">
        <v>2021</v>
      </c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58"/>
    </row>
    <row r="4" spans="1:14" ht="18" customHeight="1" x14ac:dyDescent="0.2">
      <c r="A4" s="4"/>
      <c r="B4" s="80"/>
      <c r="C4" s="10">
        <f>IF(DAY(JanSun1)=1,JanSun1-6,JanSun1+1)</f>
        <v>44193</v>
      </c>
      <c r="D4" s="10">
        <f>IF(DAY(JanSun1)=1,JanSun1-5,JanSun1+2)</f>
        <v>44194</v>
      </c>
      <c r="E4" s="10">
        <f>IF(DAY(JanSun1)=1,JanSun1-4,JanSun1+3)</f>
        <v>44195</v>
      </c>
      <c r="F4" s="10">
        <f>IF(DAY(JanSun1)=1,JanSun1-3,JanSun1+4)</f>
        <v>44196</v>
      </c>
      <c r="G4" s="10">
        <f>IF(DAY(JanSun1)=1,JanSun1-2,JanSun1+5)</f>
        <v>44197</v>
      </c>
      <c r="H4" s="10">
        <f>IF(DAY(JanSun1)=1,JanSun1-1,JanSun1+6)</f>
        <v>44198</v>
      </c>
      <c r="I4" s="10">
        <f>IF(DAY(JanSun1)=1,JanSun1,JanSun1+7)</f>
        <v>44199</v>
      </c>
      <c r="J4" s="5"/>
      <c r="K4" s="52" t="s">
        <v>10</v>
      </c>
      <c r="L4" s="16"/>
      <c r="M4" s="53"/>
      <c r="N4" s="54"/>
    </row>
    <row r="5" spans="1:14" ht="50.25" customHeight="1" x14ac:dyDescent="0.2">
      <c r="A5" s="4"/>
      <c r="B5" s="80"/>
      <c r="C5" s="10">
        <f>IF(DAY(JanSun1)=1,JanSun1+1,JanSun1+8)</f>
        <v>44200</v>
      </c>
      <c r="D5" s="10">
        <f>IF(DAY(JanSun1)=1,JanSun1+2,JanSun1+9)</f>
        <v>44201</v>
      </c>
      <c r="E5" s="10">
        <f>IF(DAY(JanSun1)=1,JanSun1+3,JanSun1+10)</f>
        <v>44202</v>
      </c>
      <c r="F5" s="10">
        <f>IF(DAY(JanSun1)=1,JanSun1+4,JanSun1+11)</f>
        <v>44203</v>
      </c>
      <c r="G5" s="10">
        <f>IF(DAY(JanSun1)=1,JanSun1+5,JanSun1+12)</f>
        <v>44204</v>
      </c>
      <c r="H5" s="10">
        <f>IF(DAY(JanSun1)=1,JanSun1+6,JanSun1+13)</f>
        <v>44205</v>
      </c>
      <c r="I5" s="10">
        <f>IF(DAY(JanSun1)=1,JanSun1+7,JanSun1+14)</f>
        <v>44206</v>
      </c>
      <c r="J5" s="5"/>
      <c r="K5" s="51"/>
      <c r="L5" s="17"/>
      <c r="M5" s="36"/>
      <c r="N5" s="37"/>
    </row>
    <row r="6" spans="1:14" ht="56.25" customHeight="1" x14ac:dyDescent="0.2">
      <c r="A6" s="4"/>
      <c r="B6" s="80"/>
      <c r="C6" s="10">
        <f>IF(DAY(JanSun1)=1,JanSun1+8,JanSun1+15)</f>
        <v>44207</v>
      </c>
      <c r="D6" s="10">
        <f>IF(DAY(JanSun1)=1,JanSun1+9,JanSun1+16)</f>
        <v>44208</v>
      </c>
      <c r="E6" s="10">
        <f>IF(DAY(JanSun1)=1,JanSun1+10,JanSun1+17)</f>
        <v>44209</v>
      </c>
      <c r="F6" s="10">
        <f>IF(DAY(JanSun1)=1,JanSun1+11,JanSun1+18)</f>
        <v>44210</v>
      </c>
      <c r="G6" s="10">
        <f>IF(DAY(JanSun1)=1,JanSun1+12,JanSun1+19)</f>
        <v>44211</v>
      </c>
      <c r="H6" s="10">
        <f>IF(DAY(JanSun1)=1,JanSun1+13,JanSun1+20)</f>
        <v>44212</v>
      </c>
      <c r="I6" s="10">
        <f>IF(DAY(JanSun1)=1,JanSun1+14,JanSun1+21)</f>
        <v>44213</v>
      </c>
      <c r="J6" s="5"/>
      <c r="K6" s="51"/>
      <c r="L6" s="17"/>
      <c r="M6" s="55" t="s">
        <v>26</v>
      </c>
      <c r="N6" s="56"/>
    </row>
    <row r="7" spans="1:14" ht="18" customHeight="1" x14ac:dyDescent="0.2">
      <c r="A7" s="4"/>
      <c r="B7" s="80"/>
      <c r="C7" s="10">
        <f>IF(DAY(JanSun1)=1,JanSun1+15,JanSun1+22)</f>
        <v>44214</v>
      </c>
      <c r="D7" s="10">
        <f>IF(DAY(JanSun1)=1,JanSun1+16,JanSun1+23)</f>
        <v>44215</v>
      </c>
      <c r="E7" s="10">
        <f>IF(DAY(JanSun1)=1,JanSun1+17,JanSun1+24)</f>
        <v>44216</v>
      </c>
      <c r="F7" s="10">
        <f>IF(DAY(JanSun1)=1,JanSun1+18,JanSun1+25)</f>
        <v>44217</v>
      </c>
      <c r="G7" s="10">
        <f>IF(DAY(JanSun1)=1,JanSun1+19,JanSun1+26)</f>
        <v>44218</v>
      </c>
      <c r="H7" s="10">
        <f>IF(DAY(JanSun1)=1,JanSun1+20,JanSun1+27)</f>
        <v>44219</v>
      </c>
      <c r="I7" s="10">
        <f>IF(DAY(JanSun1)=1,JanSun1+21,JanSun1+28)</f>
        <v>44220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IF(DAY(JanSun1)=1,JanSun1+22,JanSun1+29)</f>
        <v>44221</v>
      </c>
      <c r="D8" s="10">
        <f>IF(DAY(JanSun1)=1,JanSun1+23,JanSun1+30)</f>
        <v>44222</v>
      </c>
      <c r="E8" s="10">
        <f>IF(DAY(JanSun1)=1,JanSun1+24,JanSun1+31)</f>
        <v>44223</v>
      </c>
      <c r="F8" s="10">
        <f>IF(DAY(JanSun1)=1,JanSun1+25,JanSun1+32)</f>
        <v>44224</v>
      </c>
      <c r="G8" s="10">
        <f>IF(DAY(JanSun1)=1,JanSun1+26,JanSun1+33)</f>
        <v>44225</v>
      </c>
      <c r="H8" s="10">
        <f>IF(DAY(JanSun1)=1,JanSun1+27,JanSun1+34)</f>
        <v>44226</v>
      </c>
      <c r="I8" s="10">
        <f>IF(DAY(JanSun1)=1,JanSun1+28,JanSun1+35)</f>
        <v>44227</v>
      </c>
      <c r="J8" s="5"/>
      <c r="K8" s="11"/>
      <c r="L8" s="17"/>
      <c r="M8" s="30"/>
      <c r="N8" s="31"/>
    </row>
    <row r="9" spans="1:14" ht="18" customHeight="1" x14ac:dyDescent="0.2">
      <c r="A9" s="4"/>
      <c r="B9" s="80"/>
      <c r="C9" s="10">
        <f>IF(DAY(JanSun1)=1,JanSun1+29,JanSun1+36)</f>
        <v>44228</v>
      </c>
      <c r="D9" s="10">
        <f>IF(DAY(JanSun1)=1,JanSun1+30,JanSun1+37)</f>
        <v>44229</v>
      </c>
      <c r="E9" s="10">
        <f>IF(DAY(JanSun1)=1,JanSun1+31,JanSun1+38)</f>
        <v>44230</v>
      </c>
      <c r="F9" s="10">
        <f>IF(DAY(JanSun1)=1,JanSun1+32,JanSun1+39)</f>
        <v>44231</v>
      </c>
      <c r="G9" s="10">
        <f>IF(DAY(JanSun1)=1,JanSun1+33,JanSun1+40)</f>
        <v>44232</v>
      </c>
      <c r="H9" s="10">
        <f>IF(DAY(JanSun1)=1,JanSun1+34,JanSun1+41)</f>
        <v>44233</v>
      </c>
      <c r="I9" s="10">
        <f>IF(DAY(JanSun1)=1,JanSun1+35,JanSun1+42)</f>
        <v>44234</v>
      </c>
      <c r="J9" s="5"/>
      <c r="K9" s="12"/>
      <c r="L9" s="18"/>
      <c r="M9" s="32"/>
      <c r="N9" s="33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51.75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6"/>
      <c r="N11" s="37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30.75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6"/>
      <c r="N18" s="37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2.75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2.75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6"/>
      <c r="N29" s="37"/>
    </row>
    <row r="30" spans="2:14" ht="36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6"/>
      <c r="N30" s="37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2"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B2:B10"/>
    <mergeCell ref="B11:J12"/>
    <mergeCell ref="I20:J20"/>
    <mergeCell ref="I21:J21"/>
    <mergeCell ref="G14:H14"/>
    <mergeCell ref="I14:J14"/>
    <mergeCell ref="G15:H15"/>
    <mergeCell ref="I15:J15"/>
    <mergeCell ref="G16:H16"/>
    <mergeCell ref="I16:J16"/>
    <mergeCell ref="G20:H20"/>
    <mergeCell ref="G21:H21"/>
    <mergeCell ref="C16:D16"/>
    <mergeCell ref="C17:D17"/>
    <mergeCell ref="C18:D18"/>
    <mergeCell ref="E18:F18"/>
    <mergeCell ref="C21:D21"/>
    <mergeCell ref="C29:D29"/>
    <mergeCell ref="C33:D33"/>
    <mergeCell ref="C24:D24"/>
    <mergeCell ref="C25:D25"/>
    <mergeCell ref="C26:D26"/>
    <mergeCell ref="C27:D27"/>
    <mergeCell ref="C28:D28"/>
    <mergeCell ref="B30:J32"/>
    <mergeCell ref="E28:F28"/>
    <mergeCell ref="E27:F27"/>
    <mergeCell ref="E26:F26"/>
    <mergeCell ref="E25:F25"/>
    <mergeCell ref="E24:F24"/>
    <mergeCell ref="E33:F33"/>
    <mergeCell ref="E29:F29"/>
    <mergeCell ref="G24:H24"/>
    <mergeCell ref="I24:J24"/>
    <mergeCell ref="G25:H25"/>
    <mergeCell ref="G26:H26"/>
    <mergeCell ref="G27:H27"/>
    <mergeCell ref="I25:J25"/>
    <mergeCell ref="I26:J26"/>
    <mergeCell ref="I27:J27"/>
    <mergeCell ref="M13:N13"/>
    <mergeCell ref="G28:H28"/>
    <mergeCell ref="G29:H29"/>
    <mergeCell ref="G33:H33"/>
    <mergeCell ref="I33:J33"/>
    <mergeCell ref="I28:J28"/>
    <mergeCell ref="I29:J29"/>
    <mergeCell ref="K28:K30"/>
    <mergeCell ref="I13:J13"/>
    <mergeCell ref="G13:H13"/>
    <mergeCell ref="I19:J19"/>
    <mergeCell ref="I17:J17"/>
    <mergeCell ref="G18:H18"/>
    <mergeCell ref="I18:J18"/>
    <mergeCell ref="G19:H19"/>
    <mergeCell ref="I22:J22"/>
    <mergeCell ref="I23:J23"/>
    <mergeCell ref="G22:H22"/>
    <mergeCell ref="G23:H23"/>
    <mergeCell ref="G17:H17"/>
    <mergeCell ref="M31:N31"/>
    <mergeCell ref="M32:N32"/>
    <mergeCell ref="M33:N33"/>
    <mergeCell ref="M26:N26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M12:N12"/>
    <mergeCell ref="C22:D22"/>
    <mergeCell ref="C23:D23"/>
    <mergeCell ref="C14:D14"/>
    <mergeCell ref="C15:D15"/>
    <mergeCell ref="K16:K18"/>
    <mergeCell ref="K22:K25"/>
    <mergeCell ref="E13:F13"/>
    <mergeCell ref="C13:D13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M14:N14"/>
    <mergeCell ref="M15:N15"/>
    <mergeCell ref="M16:N16"/>
    <mergeCell ref="M17:N17"/>
    <mergeCell ref="M18:N18"/>
    <mergeCell ref="M19:N19"/>
    <mergeCell ref="M20:N20"/>
    <mergeCell ref="C19:D19"/>
    <mergeCell ref="C20:D20"/>
  </mergeCells>
  <phoneticPr fontId="2" type="noConversion"/>
  <conditionalFormatting sqref="C4:H4">
    <cfRule type="expression" dxfId="44" priority="5" stopIfTrue="1">
      <formula>DAY(C4)&gt;8</formula>
    </cfRule>
  </conditionalFormatting>
  <conditionalFormatting sqref="C8:I10">
    <cfRule type="expression" dxfId="43" priority="4" stopIfTrue="1">
      <formula>AND(DAY(C8)&gt;=1,DAY(C8)&lt;=15)</formula>
    </cfRule>
  </conditionalFormatting>
  <conditionalFormatting sqref="C4:I9">
    <cfRule type="expression" dxfId="42" priority="16">
      <formula>VLOOKUP(DAY(C4),DíasDeTareas,1,FALSE)=DAY(C4)</formula>
    </cfRule>
  </conditionalFormatting>
  <conditionalFormatting sqref="B14:J29 B33:J33">
    <cfRule type="expression" dxfId="41" priority="2">
      <formula>B14&lt;&gt;""</formula>
    </cfRule>
  </conditionalFormatting>
  <conditionalFormatting sqref="B30">
    <cfRule type="expression" dxfId="40" priority="1">
      <formula>B30&lt;&gt;""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5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topLeftCell="A4" zoomScale="60" zoomScaleNormal="100" zoomScalePageLayoutView="84" workbookViewId="0">
      <selection activeCell="M19" sqref="M19:N1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22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IF(DAY(FebDom1)=1,FebDom1-6,FebDom1+1)</f>
        <v>44228</v>
      </c>
      <c r="D4" s="10">
        <f>IF(DAY(FebDom1)=1,FebDom1-5,FebDom1+2)</f>
        <v>44229</v>
      </c>
      <c r="E4" s="10">
        <f>IF(DAY(FebDom1)=1,FebDom1-4,FebDom1+3)</f>
        <v>44230</v>
      </c>
      <c r="F4" s="10">
        <f>IF(DAY(FebDom1)=1,FebDom1-3,FebDom1+4)</f>
        <v>44231</v>
      </c>
      <c r="G4" s="10">
        <f>IF(DAY(FebDom1)=1,FebDom1-2,FebDom1+5)</f>
        <v>44232</v>
      </c>
      <c r="H4" s="10">
        <f>IF(DAY(FebDom1)=1,FebDom1-1,FebDom1+6)</f>
        <v>44233</v>
      </c>
      <c r="I4" s="10">
        <f>IF(DAY(FebDom1)=1,FebDom1,FebDom1+7)</f>
        <v>44234</v>
      </c>
      <c r="J4" s="5"/>
      <c r="K4" s="52" t="s">
        <v>10</v>
      </c>
      <c r="L4" s="16"/>
      <c r="M4" s="53"/>
      <c r="N4" s="54"/>
    </row>
    <row r="5" spans="1:14" ht="73.5" customHeight="1" x14ac:dyDescent="0.2">
      <c r="A5" s="4"/>
      <c r="B5" s="80"/>
      <c r="C5" s="10">
        <f>IF(DAY(FebDom1)=1,FebDom1+1,FebDom1+8)</f>
        <v>44235</v>
      </c>
      <c r="D5" s="10">
        <f>IF(DAY(FebDom1)=1,FebDom1+2,FebDom1+9)</f>
        <v>44236</v>
      </c>
      <c r="E5" s="10">
        <f>IF(DAY(FebDom1)=1,FebDom1+3,FebDom1+10)</f>
        <v>44237</v>
      </c>
      <c r="F5" s="10">
        <f>IF(DAY(FebDom1)=1,FebDom1+4,FebDom1+11)</f>
        <v>44238</v>
      </c>
      <c r="G5" s="10">
        <f>IF(DAY(FebDom1)=1,FebDom1+5,FebDom1+12)</f>
        <v>44239</v>
      </c>
      <c r="H5" s="10">
        <f>IF(DAY(FebDom1)=1,FebDom1+6,FebDom1+13)</f>
        <v>44240</v>
      </c>
      <c r="I5" s="10">
        <f>IF(DAY(FebDom1)=1,FebDom1+7,FebDom1+14)</f>
        <v>44241</v>
      </c>
      <c r="J5" s="5"/>
      <c r="K5" s="51"/>
      <c r="L5" s="17"/>
      <c r="M5" s="55" t="s">
        <v>26</v>
      </c>
      <c r="N5" s="56"/>
    </row>
    <row r="6" spans="1:14" ht="18" customHeight="1" x14ac:dyDescent="0.2">
      <c r="A6" s="4"/>
      <c r="B6" s="80"/>
      <c r="C6" s="10">
        <f>IF(DAY(FebDom1)=1,FebDom1+8,FebDom1+15)</f>
        <v>44242</v>
      </c>
      <c r="D6" s="10">
        <f>IF(DAY(FebDom1)=1,FebDom1+9,FebDom1+16)</f>
        <v>44243</v>
      </c>
      <c r="E6" s="10">
        <f>IF(DAY(FebDom1)=1,FebDom1+10,FebDom1+17)</f>
        <v>44244</v>
      </c>
      <c r="F6" s="10">
        <f>IF(DAY(FebDom1)=1,FebDom1+11,FebDom1+18)</f>
        <v>44245</v>
      </c>
      <c r="G6" s="10">
        <f>IF(DAY(FebDom1)=1,FebDom1+12,FebDom1+19)</f>
        <v>44246</v>
      </c>
      <c r="H6" s="10">
        <f>IF(DAY(FebDom1)=1,FebDom1+13,FebDom1+20)</f>
        <v>44247</v>
      </c>
      <c r="I6" s="10">
        <f>IF(DAY(FebDom1)=1,FebDom1+14,FebDom1+21)</f>
        <v>44248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IF(DAY(FebDom1)=1,FebDom1+15,FebDom1+22)</f>
        <v>44249</v>
      </c>
      <c r="D7" s="10">
        <f>IF(DAY(FebDom1)=1,FebDom1+16,FebDom1+23)</f>
        <v>44250</v>
      </c>
      <c r="E7" s="10">
        <f>IF(DAY(FebDom1)=1,FebDom1+17,FebDom1+24)</f>
        <v>44251</v>
      </c>
      <c r="F7" s="10">
        <f>IF(DAY(FebDom1)=1,FebDom1+18,FebDom1+25)</f>
        <v>44252</v>
      </c>
      <c r="G7" s="10">
        <f>IF(DAY(FebDom1)=1,FebDom1+19,FebDom1+26)</f>
        <v>44253</v>
      </c>
      <c r="H7" s="10">
        <f>IF(DAY(FebDom1)=1,FebDom1+20,FebDom1+27)</f>
        <v>44254</v>
      </c>
      <c r="I7" s="10">
        <f>IF(DAY(FebDom1)=1,FebDom1+21,FebDom1+28)</f>
        <v>44255</v>
      </c>
      <c r="J7" s="5"/>
      <c r="K7" s="11"/>
      <c r="L7" s="17"/>
      <c r="M7" s="30" t="s">
        <v>29</v>
      </c>
      <c r="N7" s="31"/>
    </row>
    <row r="8" spans="1:14" ht="18.75" customHeight="1" x14ac:dyDescent="0.2">
      <c r="A8" s="4"/>
      <c r="B8" s="80"/>
      <c r="C8" s="10">
        <f>IF(DAY(FebDom1)=1,FebDom1+22,FebDom1+29)</f>
        <v>44256</v>
      </c>
      <c r="D8" s="10">
        <f>IF(DAY(FebDom1)=1,FebDom1+23,FebDom1+30)</f>
        <v>44257</v>
      </c>
      <c r="E8" s="10">
        <f>IF(DAY(FebDom1)=1,FebDom1+24,FebDom1+31)</f>
        <v>44258</v>
      </c>
      <c r="F8" s="10">
        <f>IF(DAY(FebDom1)=1,FebDom1+25,FebDom1+32)</f>
        <v>44259</v>
      </c>
      <c r="G8" s="10">
        <f>IF(DAY(FebDom1)=1,FebDom1+26,FebDom1+33)</f>
        <v>44260</v>
      </c>
      <c r="H8" s="10">
        <f>IF(DAY(FebDom1)=1,FebDom1+27,FebDom1+34)</f>
        <v>44261</v>
      </c>
      <c r="I8" s="10">
        <f>IF(DAY(FebDom1)=1,FebDom1+28,FebDom1+35)</f>
        <v>44262</v>
      </c>
      <c r="J8" s="5"/>
      <c r="K8" s="11"/>
      <c r="L8" s="17"/>
      <c r="M8" s="30"/>
      <c r="N8" s="31"/>
    </row>
    <row r="9" spans="1:14" ht="18" customHeight="1" x14ac:dyDescent="0.2">
      <c r="A9" s="4"/>
      <c r="B9" s="80"/>
      <c r="C9" s="10">
        <f>IF(DAY(FebDom1)=1,FebDom1+29,FebDom1+36)</f>
        <v>44263</v>
      </c>
      <c r="D9" s="10">
        <f>IF(DAY(FebDom1)=1,FebDom1+30,FebDom1+37)</f>
        <v>44264</v>
      </c>
      <c r="E9" s="10">
        <f>IF(DAY(FebDom1)=1,FebDom1+31,FebDom1+38)</f>
        <v>44265</v>
      </c>
      <c r="F9" s="10">
        <f>IF(DAY(FebDom1)=1,FebDom1+32,FebDom1+39)</f>
        <v>44266</v>
      </c>
      <c r="G9" s="10">
        <f>IF(DAY(FebDom1)=1,FebDom1+33,FebDom1+40)</f>
        <v>44267</v>
      </c>
      <c r="H9" s="10">
        <f>IF(DAY(FebDom1)=1,FebDom1+34,FebDom1+41)</f>
        <v>44268</v>
      </c>
      <c r="I9" s="10">
        <f>IF(DAY(FebDom1)=1,FebDom1+35,FebDom1+42)</f>
        <v>44269</v>
      </c>
      <c r="J9" s="5"/>
      <c r="K9" s="12"/>
      <c r="L9" s="18"/>
      <c r="M9" s="32"/>
      <c r="N9" s="33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49.5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6"/>
      <c r="N11" s="37"/>
    </row>
    <row r="12" spans="1:14" ht="42.75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89"/>
      <c r="N12" s="90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48.75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6"/>
      <c r="N17" s="37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37.5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6"/>
      <c r="N23" s="37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52.5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6"/>
      <c r="N29" s="37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31.5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89"/>
      <c r="N31" s="90"/>
    </row>
    <row r="32" spans="2:14" ht="28.5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89"/>
      <c r="N32" s="90"/>
    </row>
    <row r="33" spans="2:14" ht="18" customHeight="1" x14ac:dyDescent="0.2">
      <c r="B33" s="91" t="s">
        <v>24</v>
      </c>
      <c r="C33" s="92"/>
      <c r="D33" s="92"/>
      <c r="E33" s="92"/>
      <c r="F33" s="92"/>
      <c r="G33" s="92"/>
      <c r="H33" s="92"/>
      <c r="I33" s="92"/>
      <c r="J33" s="93"/>
      <c r="K33" s="15"/>
      <c r="L33" s="20"/>
      <c r="M33" s="71"/>
      <c r="N33" s="72"/>
    </row>
  </sheetData>
  <mergeCells count="108">
    <mergeCell ref="M33:N33"/>
    <mergeCell ref="M31:N31"/>
    <mergeCell ref="M32:N32"/>
    <mergeCell ref="B30:J32"/>
    <mergeCell ref="M29:N29"/>
    <mergeCell ref="M30:N30"/>
    <mergeCell ref="B33:J33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11:N11"/>
    <mergeCell ref="M6:N6"/>
    <mergeCell ref="M7:N7"/>
    <mergeCell ref="M8:N8"/>
    <mergeCell ref="M9:N9"/>
    <mergeCell ref="K10:K12"/>
    <mergeCell ref="M5:N5"/>
  </mergeCells>
  <conditionalFormatting sqref="C4:H4">
    <cfRule type="expression" dxfId="39" priority="4" stopIfTrue="1">
      <formula>DAY(C4)&gt;8</formula>
    </cfRule>
  </conditionalFormatting>
  <conditionalFormatting sqref="C8:I10">
    <cfRule type="expression" dxfId="38" priority="3" stopIfTrue="1">
      <formula>AND(DAY(C8)&gt;=1,DAY(C8)&lt;=15)</formula>
    </cfRule>
  </conditionalFormatting>
  <conditionalFormatting sqref="C4:I9">
    <cfRule type="expression" dxfId="37" priority="5">
      <formula>VLOOKUP(DAY(C4),DíasDeTareas,1,FALSE)=DAY(C4)</formula>
    </cfRule>
  </conditionalFormatting>
  <conditionalFormatting sqref="B14:J29 B33">
    <cfRule type="expression" dxfId="36" priority="2">
      <formula>B14&lt;&gt;""</formula>
    </cfRule>
  </conditionalFormatting>
  <conditionalFormatting sqref="B30">
    <cfRule type="expression" dxfId="35" priority="1">
      <formula>B30&lt;&gt;""</formula>
    </cfRule>
  </conditionalFormatting>
  <printOptions horizontalCentered="1"/>
  <pageMargins left="0.5" right="0.5" top="0.5" bottom="0.5" header="0.3" footer="0.3"/>
  <pageSetup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view="pageBreakPreview" zoomScale="60" zoomScaleNormal="100" zoomScalePageLayoutView="84" workbookViewId="0">
      <selection activeCell="M28" sqref="M28:N28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6.285156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21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IF(DAY(MarDom1)=1,MarDom1-6,MarDom1+1)</f>
        <v>44256</v>
      </c>
      <c r="D4" s="10">
        <f>IF(DAY(MarDom1)=1,MarDom1-5,MarDom1+2)</f>
        <v>44257</v>
      </c>
      <c r="E4" s="10">
        <f>IF(DAY(MarDom1)=1,MarDom1-4,MarDom1+3)</f>
        <v>44258</v>
      </c>
      <c r="F4" s="10">
        <f>IF(DAY(MarDom1)=1,MarDom1-3,MarDom1+4)</f>
        <v>44259</v>
      </c>
      <c r="G4" s="10">
        <f>IF(DAY(MarDom1)=1,MarDom1-2,MarDom1+5)</f>
        <v>44260</v>
      </c>
      <c r="H4" s="10">
        <f>IF(DAY(MarDom1)=1,MarDom1-1,MarDom1+6)</f>
        <v>44261</v>
      </c>
      <c r="I4" s="10">
        <f>IF(DAY(MarDom1)=1,MarDom1,MarDom1+7)</f>
        <v>44262</v>
      </c>
      <c r="J4" s="5"/>
      <c r="K4" s="52" t="s">
        <v>10</v>
      </c>
      <c r="L4" s="16"/>
      <c r="M4" s="53"/>
      <c r="N4" s="54"/>
    </row>
    <row r="5" spans="1:14" ht="54" customHeight="1" x14ac:dyDescent="0.2">
      <c r="A5" s="4"/>
      <c r="B5" s="80"/>
      <c r="C5" s="10">
        <f>IF(DAY(MarDom1)=1,MarDom1+1,MarDom1+8)</f>
        <v>44263</v>
      </c>
      <c r="D5" s="10">
        <f>IF(DAY(MarDom1)=1,MarDom1+2,MarDom1+9)</f>
        <v>44264</v>
      </c>
      <c r="E5" s="10">
        <f>IF(DAY(MarDom1)=1,MarDom1+3,MarDom1+10)</f>
        <v>44265</v>
      </c>
      <c r="F5" s="10">
        <f>IF(DAY(MarDom1)=1,MarDom1+4,MarDom1+11)</f>
        <v>44266</v>
      </c>
      <c r="G5" s="10">
        <f>IF(DAY(MarDom1)=1,MarDom1+5,MarDom1+12)</f>
        <v>44267</v>
      </c>
      <c r="H5" s="10">
        <f>IF(DAY(MarDom1)=1,MarDom1+6,MarDom1+13)</f>
        <v>44268</v>
      </c>
      <c r="I5" s="10">
        <f>IF(DAY(MarDom1)=1,MarDom1+7,MarDom1+14)</f>
        <v>44269</v>
      </c>
      <c r="J5" s="5"/>
      <c r="K5" s="51"/>
      <c r="L5" s="17"/>
      <c r="M5" s="55" t="s">
        <v>26</v>
      </c>
      <c r="N5" s="56"/>
    </row>
    <row r="6" spans="1:14" ht="18" customHeight="1" x14ac:dyDescent="0.2">
      <c r="A6" s="4"/>
      <c r="B6" s="80"/>
      <c r="C6" s="10">
        <f>IF(DAY(MarDom1)=1,MarDom1+8,MarDom1+15)</f>
        <v>44270</v>
      </c>
      <c r="D6" s="10">
        <f>IF(DAY(MarDom1)=1,MarDom1+9,MarDom1+16)</f>
        <v>44271</v>
      </c>
      <c r="E6" s="10">
        <f>IF(DAY(MarDom1)=1,MarDom1+10,MarDom1+17)</f>
        <v>44272</v>
      </c>
      <c r="F6" s="10">
        <f>IF(DAY(MarDom1)=1,MarDom1+11,MarDom1+18)</f>
        <v>44273</v>
      </c>
      <c r="G6" s="10">
        <f>IF(DAY(MarDom1)=1,MarDom1+12,MarDom1+19)</f>
        <v>44274</v>
      </c>
      <c r="H6" s="10">
        <f>IF(DAY(MarDom1)=1,MarDom1+13,MarDom1+20)</f>
        <v>44275</v>
      </c>
      <c r="I6" s="10">
        <f>IF(DAY(MarDom1)=1,MarDom1+14,MarDom1+21)</f>
        <v>44276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IF(DAY(MarDom1)=1,MarDom1+15,MarDom1+22)</f>
        <v>44277</v>
      </c>
      <c r="D7" s="10">
        <f>IF(DAY(MarDom1)=1,MarDom1+16,MarDom1+23)</f>
        <v>44278</v>
      </c>
      <c r="E7" s="10">
        <f>IF(DAY(MarDom1)=1,MarDom1+17,MarDom1+24)</f>
        <v>44279</v>
      </c>
      <c r="F7" s="10">
        <f>IF(DAY(MarDom1)=1,MarDom1+18,MarDom1+25)</f>
        <v>44280</v>
      </c>
      <c r="G7" s="10">
        <f>IF(DAY(MarDom1)=1,MarDom1+19,MarDom1+26)</f>
        <v>44281</v>
      </c>
      <c r="H7" s="10">
        <f>IF(DAY(MarDom1)=1,MarDom1+20,MarDom1+27)</f>
        <v>44282</v>
      </c>
      <c r="I7" s="10">
        <f>IF(DAY(MarDom1)=1,MarDom1+21,MarDom1+28)</f>
        <v>44283</v>
      </c>
      <c r="J7" s="5"/>
      <c r="K7" s="11"/>
      <c r="L7" s="17"/>
      <c r="M7" s="30" t="s">
        <v>28</v>
      </c>
      <c r="N7" s="31"/>
    </row>
    <row r="8" spans="1:14" ht="18.75" customHeight="1" x14ac:dyDescent="0.2">
      <c r="A8" s="4"/>
      <c r="B8" s="80"/>
      <c r="C8" s="10">
        <f>IF(DAY(MarDom1)=1,MarDom1+22,MarDom1+29)</f>
        <v>44284</v>
      </c>
      <c r="D8" s="10">
        <f>IF(DAY(MarDom1)=1,MarDom1+23,MarDom1+30)</f>
        <v>44285</v>
      </c>
      <c r="E8" s="10">
        <f>IF(DAY(MarDom1)=1,MarDom1+24,MarDom1+31)</f>
        <v>44286</v>
      </c>
      <c r="F8" s="10">
        <f>IF(DAY(MarDom1)=1,MarDom1+25,MarDom1+32)</f>
        <v>44287</v>
      </c>
      <c r="G8" s="10">
        <f>IF(DAY(MarDom1)=1,MarDom1+26,MarDom1+33)</f>
        <v>44288</v>
      </c>
      <c r="H8" s="10">
        <f>IF(DAY(MarDom1)=1,MarDom1+27,MarDom1+34)</f>
        <v>44289</v>
      </c>
      <c r="I8" s="10">
        <f>IF(DAY(MarDom1)=1,MarDom1+28,MarDom1+35)</f>
        <v>44290</v>
      </c>
      <c r="J8" s="5"/>
      <c r="K8" s="11"/>
      <c r="L8" s="17"/>
      <c r="M8" s="30" t="s">
        <v>27</v>
      </c>
      <c r="N8" s="31"/>
    </row>
    <row r="9" spans="1:14" ht="18" customHeight="1" x14ac:dyDescent="0.2">
      <c r="A9" s="4"/>
      <c r="B9" s="80"/>
      <c r="C9" s="10">
        <f>IF(DAY(MarDom1)=1,MarDom1+29,MarDom1+36)</f>
        <v>44291</v>
      </c>
      <c r="D9" s="10">
        <f>IF(DAY(MarDom1)=1,MarDom1+30,MarDom1+37)</f>
        <v>44292</v>
      </c>
      <c r="E9" s="10">
        <f>IF(DAY(MarDom1)=1,MarDom1+31,MarDom1+38)</f>
        <v>44293</v>
      </c>
      <c r="F9" s="10">
        <f>IF(DAY(MarDom1)=1,MarDom1+32,MarDom1+39)</f>
        <v>44294</v>
      </c>
      <c r="G9" s="10">
        <f>IF(DAY(MarDom1)=1,MarDom1+33,MarDom1+40)</f>
        <v>44295</v>
      </c>
      <c r="H9" s="10">
        <f>IF(DAY(MarDom1)=1,MarDom1+34,MarDom1+41)</f>
        <v>44296</v>
      </c>
      <c r="I9" s="10">
        <f>IF(DAY(MarDom1)=1,MarDom1+35,MarDom1+42)</f>
        <v>44297</v>
      </c>
      <c r="J9" s="5"/>
      <c r="K9" s="12"/>
      <c r="L9" s="18"/>
      <c r="M9" s="32"/>
      <c r="N9" s="33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0"/>
      <c r="N11" s="31"/>
    </row>
    <row r="12" spans="1:14" ht="30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6"/>
      <c r="N12" s="37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0"/>
      <c r="N22" s="31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40.5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6"/>
      <c r="N24" s="37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25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69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29"/>
      <c r="M32" s="36"/>
      <c r="N32" s="37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1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34" priority="4" stopIfTrue="1">
      <formula>DAY(C4)&gt;8</formula>
    </cfRule>
  </conditionalFormatting>
  <conditionalFormatting sqref="C8:I10">
    <cfRule type="expression" dxfId="33" priority="3" stopIfTrue="1">
      <formula>AND(DAY(C8)&gt;=1,DAY(C8)&lt;=15)</formula>
    </cfRule>
  </conditionalFormatting>
  <conditionalFormatting sqref="C4:I9">
    <cfRule type="expression" dxfId="32" priority="5">
      <formula>VLOOKUP(DAY(C4),DíasDeTareas,1,FALSE)=DAY(C4)</formula>
    </cfRule>
  </conditionalFormatting>
  <conditionalFormatting sqref="B14:J29 B33:J33">
    <cfRule type="expression" dxfId="31" priority="2">
      <formula>B14&lt;&gt;""</formula>
    </cfRule>
  </conditionalFormatting>
  <conditionalFormatting sqref="B30">
    <cfRule type="expression" dxfId="30" priority="1">
      <formula>B30&lt;&gt;""</formula>
    </cfRule>
  </conditionalFormatting>
  <printOptions horizontalCentered="1"/>
  <pageMargins left="0.5" right="0.5" top="0.5" bottom="0.5" header="0.3" footer="0.3"/>
  <pageSetup scale="5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topLeftCell="A4" zoomScale="60" zoomScaleNormal="100" zoomScalePageLayoutView="84" workbookViewId="0">
      <selection activeCell="M4" sqref="M4:N4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20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61.5" customHeight="1" x14ac:dyDescent="0.2">
      <c r="A4" s="4"/>
      <c r="B4" s="80"/>
      <c r="C4" s="10">
        <f>IF(DAY(AbrDom1)=1,AbrDom1-6,AbrDom1+1)</f>
        <v>44284</v>
      </c>
      <c r="D4" s="10">
        <f>IF(DAY(AbrDom1)=1,AbrDom1-5,AbrDom1+2)</f>
        <v>44285</v>
      </c>
      <c r="E4" s="10">
        <f>IF(DAY(AbrDom1)=1,AbrDom1-4,AbrDom1+3)</f>
        <v>44286</v>
      </c>
      <c r="F4" s="10">
        <f>IF(DAY(AbrDom1)=1,AbrDom1-3,AbrDom1+4)</f>
        <v>44287</v>
      </c>
      <c r="G4" s="10">
        <f>IF(DAY(AbrDom1)=1,AbrDom1-2,AbrDom1+5)</f>
        <v>44288</v>
      </c>
      <c r="H4" s="10">
        <f>IF(DAY(AbrDom1)=1,AbrDom1-1,AbrDom1+6)</f>
        <v>44289</v>
      </c>
      <c r="I4" s="10">
        <f>IF(DAY(AbrDom1)=1,AbrDom1,AbrDom1+7)</f>
        <v>44290</v>
      </c>
      <c r="J4" s="5"/>
      <c r="K4" s="52" t="s">
        <v>10</v>
      </c>
      <c r="L4" s="16"/>
      <c r="M4" s="55" t="s">
        <v>26</v>
      </c>
      <c r="N4" s="56"/>
    </row>
    <row r="5" spans="1:14" ht="18" customHeight="1" x14ac:dyDescent="0.2">
      <c r="A5" s="4"/>
      <c r="B5" s="80"/>
      <c r="C5" s="10">
        <f>IF(DAY(AbrDom1)=1,AbrDom1+1,AbrDom1+8)</f>
        <v>44291</v>
      </c>
      <c r="D5" s="10">
        <f>IF(DAY(AbrDom1)=1,AbrDom1+2,AbrDom1+9)</f>
        <v>44292</v>
      </c>
      <c r="E5" s="10">
        <f>IF(DAY(AbrDom1)=1,AbrDom1+3,AbrDom1+10)</f>
        <v>44293</v>
      </c>
      <c r="F5" s="10">
        <f>IF(DAY(AbrDom1)=1,AbrDom1+4,AbrDom1+11)</f>
        <v>44294</v>
      </c>
      <c r="G5" s="10">
        <f>IF(DAY(AbrDom1)=1,AbrDom1+5,AbrDom1+12)</f>
        <v>44295</v>
      </c>
      <c r="H5" s="10">
        <f>IF(DAY(AbrDom1)=1,AbrDom1+6,AbrDom1+13)</f>
        <v>44296</v>
      </c>
      <c r="I5" s="10">
        <f>IF(DAY(AbrDom1)=1,AbrDom1+7,AbrDom1+14)</f>
        <v>44297</v>
      </c>
      <c r="J5" s="5"/>
      <c r="K5" s="51"/>
      <c r="L5" s="17"/>
      <c r="M5" s="30"/>
      <c r="N5" s="31"/>
    </row>
    <row r="6" spans="1:14" ht="18" customHeight="1" x14ac:dyDescent="0.2">
      <c r="A6" s="4"/>
      <c r="B6" s="80"/>
      <c r="C6" s="10">
        <f>IF(DAY(AbrDom1)=1,AbrDom1+8,AbrDom1+15)</f>
        <v>44298</v>
      </c>
      <c r="D6" s="10">
        <f>IF(DAY(AbrDom1)=1,AbrDom1+9,AbrDom1+16)</f>
        <v>44299</v>
      </c>
      <c r="E6" s="10">
        <f>IF(DAY(AbrDom1)=1,AbrDom1+10,AbrDom1+17)</f>
        <v>44300</v>
      </c>
      <c r="F6" s="10">
        <f>IF(DAY(AbrDom1)=1,AbrDom1+11,AbrDom1+18)</f>
        <v>44301</v>
      </c>
      <c r="G6" s="10">
        <f>IF(DAY(AbrDom1)=1,AbrDom1+12,AbrDom1+19)</f>
        <v>44302</v>
      </c>
      <c r="H6" s="10">
        <f>IF(DAY(AbrDom1)=1,AbrDom1+13,AbrDom1+20)</f>
        <v>44303</v>
      </c>
      <c r="I6" s="10">
        <f>IF(DAY(AbrDom1)=1,AbrDom1+14,AbrDom1+21)</f>
        <v>44304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IF(DAY(AbrDom1)=1,AbrDom1+15,AbrDom1+22)</f>
        <v>44305</v>
      </c>
      <c r="D7" s="10">
        <f>IF(DAY(AbrDom1)=1,AbrDom1+16,AbrDom1+23)</f>
        <v>44306</v>
      </c>
      <c r="E7" s="10">
        <f>IF(DAY(AbrDom1)=1,AbrDom1+17,AbrDom1+24)</f>
        <v>44307</v>
      </c>
      <c r="F7" s="10">
        <f>IF(DAY(AbrDom1)=1,AbrDom1+18,AbrDom1+25)</f>
        <v>44308</v>
      </c>
      <c r="G7" s="10">
        <f>IF(DAY(AbrDom1)=1,AbrDom1+19,AbrDom1+26)</f>
        <v>44309</v>
      </c>
      <c r="H7" s="10">
        <f>IF(DAY(AbrDom1)=1,AbrDom1+20,AbrDom1+27)</f>
        <v>44310</v>
      </c>
      <c r="I7" s="10">
        <f>IF(DAY(AbrDom1)=1,AbrDom1+21,AbrDom1+28)</f>
        <v>44311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IF(DAY(AbrDom1)=1,AbrDom1+22,AbrDom1+29)</f>
        <v>44312</v>
      </c>
      <c r="D8" s="10">
        <f>IF(DAY(AbrDom1)=1,AbrDom1+23,AbrDom1+30)</f>
        <v>44313</v>
      </c>
      <c r="E8" s="10">
        <f>IF(DAY(AbrDom1)=1,AbrDom1+24,AbrDom1+31)</f>
        <v>44314</v>
      </c>
      <c r="F8" s="10">
        <f>IF(DAY(AbrDom1)=1,AbrDom1+25,AbrDom1+32)</f>
        <v>44315</v>
      </c>
      <c r="G8" s="10">
        <f>IF(DAY(AbrDom1)=1,AbrDom1+26,AbrDom1+33)</f>
        <v>44316</v>
      </c>
      <c r="H8" s="10">
        <f>IF(DAY(AbrDom1)=1,AbrDom1+27,AbrDom1+34)</f>
        <v>44317</v>
      </c>
      <c r="I8" s="10">
        <f>IF(DAY(AbrDom1)=1,AbrDom1+28,AbrDom1+35)</f>
        <v>44318</v>
      </c>
      <c r="J8" s="5"/>
      <c r="K8" s="11"/>
      <c r="L8" s="17"/>
      <c r="M8" s="30"/>
      <c r="N8" s="31"/>
    </row>
    <row r="9" spans="1:14" ht="13.5" x14ac:dyDescent="0.2">
      <c r="A9" s="4"/>
      <c r="B9" s="80"/>
      <c r="C9" s="10">
        <f>IF(DAY(AbrDom1)=1,AbrDom1+29,AbrDom1+36)</f>
        <v>44319</v>
      </c>
      <c r="D9" s="10">
        <f>IF(DAY(AbrDom1)=1,AbrDom1+30,AbrDom1+37)</f>
        <v>44320</v>
      </c>
      <c r="E9" s="10">
        <f>IF(DAY(AbrDom1)=1,AbrDom1+31,AbrDom1+38)</f>
        <v>44321</v>
      </c>
      <c r="F9" s="10">
        <f>IF(DAY(AbrDom1)=1,AbrDom1+32,AbrDom1+39)</f>
        <v>44322</v>
      </c>
      <c r="G9" s="10">
        <f>IF(DAY(AbrDom1)=1,AbrDom1+33,AbrDom1+40)</f>
        <v>44323</v>
      </c>
      <c r="H9" s="10">
        <f>IF(DAY(AbrDom1)=1,AbrDom1+34,AbrDom1+41)</f>
        <v>44324</v>
      </c>
      <c r="I9" s="10">
        <f>IF(DAY(AbrDom1)=1,AbrDom1+35,AbrDom1+42)</f>
        <v>44325</v>
      </c>
      <c r="J9" s="5"/>
      <c r="K9" s="12"/>
      <c r="L9" s="18"/>
      <c r="M9" s="94"/>
      <c r="N9" s="95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0"/>
      <c r="N11" s="31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2.75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27"/>
      <c r="N16" s="28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0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9" priority="4" stopIfTrue="1">
      <formula>DAY(C4)&gt;8</formula>
    </cfRule>
  </conditionalFormatting>
  <conditionalFormatting sqref="C8:I10">
    <cfRule type="expression" dxfId="28" priority="3" stopIfTrue="1">
      <formula>AND(DAY(C8)&gt;=1,DAY(C8)&lt;=15)</formula>
    </cfRule>
  </conditionalFormatting>
  <conditionalFormatting sqref="C4:I9">
    <cfRule type="expression" dxfId="27" priority="5">
      <formula>VLOOKUP(DAY(C4),DíasDeTareas,1,FALSE)=DAY(C4)</formula>
    </cfRule>
  </conditionalFormatting>
  <conditionalFormatting sqref="B14:J29 B33:J33">
    <cfRule type="expression" dxfId="26" priority="2">
      <formula>B14&lt;&gt;""</formula>
    </cfRule>
  </conditionalFormatting>
  <conditionalFormatting sqref="B30">
    <cfRule type="expression" dxfId="2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M9" sqref="M9:N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6.57031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19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IF(DAY(MayDom1)=1,MayDom1-6,MayDom1+1)</f>
        <v>44312</v>
      </c>
      <c r="D4" s="10">
        <f>IF(DAY(MayDom1)=1,MayDom1-5,MayDom1+2)</f>
        <v>44313</v>
      </c>
      <c r="E4" s="10">
        <f>IF(DAY(MayDom1)=1,MayDom1-4,MayDom1+3)</f>
        <v>44314</v>
      </c>
      <c r="F4" s="10">
        <f>IF(DAY(MayDom1)=1,MayDom1-3,MayDom1+4)</f>
        <v>44315</v>
      </c>
      <c r="G4" s="10">
        <f>IF(DAY(MayDom1)=1,MayDom1-2,MayDom1+5)</f>
        <v>44316</v>
      </c>
      <c r="H4" s="10">
        <f>IF(DAY(MayDom1)=1,MayDom1-1,MayDom1+6)</f>
        <v>44317</v>
      </c>
      <c r="I4" s="10">
        <f>IF(DAY(MayDom1)=1,MayDom1,MayDom1+7)</f>
        <v>44318</v>
      </c>
      <c r="J4" s="5"/>
      <c r="K4" s="52" t="s">
        <v>10</v>
      </c>
      <c r="L4" s="16"/>
      <c r="M4" s="53"/>
      <c r="N4" s="54"/>
    </row>
    <row r="5" spans="1:14" ht="54.75" customHeight="1" x14ac:dyDescent="0.2">
      <c r="A5" s="4"/>
      <c r="B5" s="80"/>
      <c r="C5" s="10">
        <f>IF(DAY(MayDom1)=1,MayDom1+1,MayDom1+8)</f>
        <v>44319</v>
      </c>
      <c r="D5" s="10">
        <f>IF(DAY(MayDom1)=1,MayDom1+2,MayDom1+9)</f>
        <v>44320</v>
      </c>
      <c r="E5" s="10">
        <f>IF(DAY(MayDom1)=1,MayDom1+3,MayDom1+10)</f>
        <v>44321</v>
      </c>
      <c r="F5" s="10">
        <f>IF(DAY(MayDom1)=1,MayDom1+4,MayDom1+11)</f>
        <v>44322</v>
      </c>
      <c r="G5" s="10">
        <f>IF(DAY(MayDom1)=1,MayDom1+5,MayDom1+12)</f>
        <v>44323</v>
      </c>
      <c r="H5" s="10">
        <f>IF(DAY(MayDom1)=1,MayDom1+6,MayDom1+13)</f>
        <v>44324</v>
      </c>
      <c r="I5" s="10">
        <f>IF(DAY(MayDom1)=1,MayDom1+7,MayDom1+14)</f>
        <v>44325</v>
      </c>
      <c r="J5" s="5"/>
      <c r="K5" s="51"/>
      <c r="L5" s="17"/>
      <c r="M5" s="55" t="s">
        <v>26</v>
      </c>
      <c r="N5" s="56"/>
    </row>
    <row r="6" spans="1:14" ht="18" customHeight="1" x14ac:dyDescent="0.2">
      <c r="A6" s="4"/>
      <c r="B6" s="80"/>
      <c r="C6" s="10">
        <f>IF(DAY(MayDom1)=1,MayDom1+8,MayDom1+15)</f>
        <v>44326</v>
      </c>
      <c r="D6" s="10">
        <f>IF(DAY(MayDom1)=1,MayDom1+9,MayDom1+16)</f>
        <v>44327</v>
      </c>
      <c r="E6" s="10">
        <f>IF(DAY(MayDom1)=1,MayDom1+10,MayDom1+17)</f>
        <v>44328</v>
      </c>
      <c r="F6" s="10">
        <f>IF(DAY(MayDom1)=1,MayDom1+11,MayDom1+18)</f>
        <v>44329</v>
      </c>
      <c r="G6" s="10">
        <f>IF(DAY(MayDom1)=1,MayDom1+12,MayDom1+19)</f>
        <v>44330</v>
      </c>
      <c r="H6" s="10">
        <f>IF(DAY(MayDom1)=1,MayDom1+13,MayDom1+20)</f>
        <v>44331</v>
      </c>
      <c r="I6" s="10">
        <f>IF(DAY(MayDom1)=1,MayDom1+14,MayDom1+21)</f>
        <v>44332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IF(DAY(MayDom1)=1,MayDom1+15,MayDom1+22)</f>
        <v>44333</v>
      </c>
      <c r="D7" s="10">
        <f>IF(DAY(MayDom1)=1,MayDom1+16,MayDom1+23)</f>
        <v>44334</v>
      </c>
      <c r="E7" s="10">
        <f>IF(DAY(MayDom1)=1,MayDom1+17,MayDom1+24)</f>
        <v>44335</v>
      </c>
      <c r="F7" s="10">
        <f>IF(DAY(MayDom1)=1,MayDom1+18,MayDom1+25)</f>
        <v>44336</v>
      </c>
      <c r="G7" s="10">
        <f>IF(DAY(MayDom1)=1,MayDom1+19,MayDom1+26)</f>
        <v>44337</v>
      </c>
      <c r="H7" s="10">
        <f>IF(DAY(MayDom1)=1,MayDom1+20,MayDom1+27)</f>
        <v>44338</v>
      </c>
      <c r="I7" s="10">
        <f>IF(DAY(MayDom1)=1,MayDom1+21,MayDom1+28)</f>
        <v>44339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IF(DAY(MayDom1)=1,MayDom1+22,MayDom1+29)</f>
        <v>44340</v>
      </c>
      <c r="D8" s="10">
        <f>IF(DAY(MayDom1)=1,MayDom1+23,MayDom1+30)</f>
        <v>44341</v>
      </c>
      <c r="E8" s="10">
        <f>IF(DAY(MayDom1)=1,MayDom1+24,MayDom1+31)</f>
        <v>44342</v>
      </c>
      <c r="F8" s="10">
        <f>IF(DAY(MayDom1)=1,MayDom1+25,MayDom1+32)</f>
        <v>44343</v>
      </c>
      <c r="G8" s="10">
        <f>IF(DAY(MayDom1)=1,MayDom1+26,MayDom1+33)</f>
        <v>44344</v>
      </c>
      <c r="H8" s="10">
        <f>IF(DAY(MayDom1)=1,MayDom1+27,MayDom1+34)</f>
        <v>44345</v>
      </c>
      <c r="I8" s="10">
        <f>IF(DAY(MayDom1)=1,MayDom1+28,MayDom1+35)</f>
        <v>44346</v>
      </c>
      <c r="J8" s="5"/>
      <c r="K8" s="11"/>
      <c r="L8" s="17"/>
      <c r="M8" s="30"/>
      <c r="N8" s="31"/>
    </row>
    <row r="9" spans="1:14" ht="63" customHeight="1" x14ac:dyDescent="0.2">
      <c r="A9" s="4"/>
      <c r="B9" s="80"/>
      <c r="C9" s="10">
        <f>IF(DAY(MayDom1)=1,MayDom1+29,MayDom1+36)</f>
        <v>44347</v>
      </c>
      <c r="D9" s="10">
        <f>IF(DAY(MayDom1)=1,MayDom1+30,MayDom1+37)</f>
        <v>44348</v>
      </c>
      <c r="E9" s="10">
        <f>IF(DAY(MayDom1)=1,MayDom1+31,MayDom1+38)</f>
        <v>44349</v>
      </c>
      <c r="F9" s="10">
        <f>IF(DAY(MayDom1)=1,MayDom1+32,MayDom1+39)</f>
        <v>44350</v>
      </c>
      <c r="G9" s="10">
        <f>IF(DAY(MayDom1)=1,MayDom1+33,MayDom1+40)</f>
        <v>44351</v>
      </c>
      <c r="H9" s="10">
        <f>IF(DAY(MayDom1)=1,MayDom1+34,MayDom1+41)</f>
        <v>44352</v>
      </c>
      <c r="I9" s="10">
        <f>IF(DAY(MayDom1)=1,MayDom1+35,MayDom1+42)</f>
        <v>44353</v>
      </c>
      <c r="J9" s="5"/>
      <c r="K9" s="12"/>
      <c r="L9" s="18"/>
      <c r="M9" s="94"/>
      <c r="N9" s="95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0"/>
      <c r="N11" s="31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1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24" priority="4" stopIfTrue="1">
      <formula>DAY(C4)&gt;8</formula>
    </cfRule>
  </conditionalFormatting>
  <conditionalFormatting sqref="C8:I10">
    <cfRule type="expression" dxfId="23" priority="3" stopIfTrue="1">
      <formula>AND(DAY(C8)&gt;=1,DAY(C8)&lt;=15)</formula>
    </cfRule>
  </conditionalFormatting>
  <conditionalFormatting sqref="C4:I9">
    <cfRule type="expression" dxfId="22" priority="5">
      <formula>VLOOKUP(DAY(C4),DíasDeTareas,1,FALSE)=DAY(C4)</formula>
    </cfRule>
  </conditionalFormatting>
  <conditionalFormatting sqref="B14:J29 B33:J33">
    <cfRule type="expression" dxfId="21" priority="2">
      <formula>B14&lt;&gt;""</formula>
    </cfRule>
  </conditionalFormatting>
  <conditionalFormatting sqref="B30">
    <cfRule type="expression" dxfId="20" priority="1">
      <formula>B30&lt;&gt;""</formula>
    </cfRule>
  </conditionalFormatting>
  <printOptions horizontalCentered="1"/>
  <pageMargins left="0.5" right="0.5" top="0.5" bottom="0.5" header="0.3" footer="0.3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K9" sqref="K9:N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18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IF(DAY(JunDom1)=1,JunDom1-6,JunDom1+1)</f>
        <v>44347</v>
      </c>
      <c r="D4" s="10">
        <f>IF(DAY(JunDom1)=1,JunDom1-5,JunDom1+2)</f>
        <v>44348</v>
      </c>
      <c r="E4" s="10">
        <f>IF(DAY(JunDom1)=1,JunDom1-4,JunDom1+3)</f>
        <v>44349</v>
      </c>
      <c r="F4" s="10">
        <f>IF(DAY(JunDom1)=1,JunDom1-3,JunDom1+4)</f>
        <v>44350</v>
      </c>
      <c r="G4" s="10">
        <f>IF(DAY(JunDom1)=1,JunDom1-2,JunDom1+5)</f>
        <v>44351</v>
      </c>
      <c r="H4" s="10">
        <f>IF(DAY(JunDom1)=1,JunDom1-1,JunDom1+6)</f>
        <v>44352</v>
      </c>
      <c r="I4" s="10">
        <f>IF(DAY(JunDom1)=1,JunDom1,JunDom1+7)</f>
        <v>44353</v>
      </c>
      <c r="J4" s="5"/>
      <c r="K4" s="52" t="s">
        <v>10</v>
      </c>
      <c r="L4" s="16"/>
      <c r="M4" s="53"/>
      <c r="N4" s="54"/>
    </row>
    <row r="5" spans="1:14" ht="18" customHeight="1" x14ac:dyDescent="0.2">
      <c r="A5" s="4"/>
      <c r="B5" s="80"/>
      <c r="C5" s="10">
        <f>IF(DAY(JunDom1)=1,JunDom1+1,JunDom1+8)</f>
        <v>44354</v>
      </c>
      <c r="D5" s="10">
        <f>IF(DAY(JunDom1)=1,JunDom1+2,JunDom1+9)</f>
        <v>44355</v>
      </c>
      <c r="E5" s="10">
        <f>IF(DAY(JunDom1)=1,JunDom1+3,JunDom1+10)</f>
        <v>44356</v>
      </c>
      <c r="F5" s="10">
        <f>IF(DAY(JunDom1)=1,JunDom1+4,JunDom1+11)</f>
        <v>44357</v>
      </c>
      <c r="G5" s="10">
        <f>IF(DAY(JunDom1)=1,JunDom1+5,JunDom1+12)</f>
        <v>44358</v>
      </c>
      <c r="H5" s="10">
        <f>IF(DAY(JunDom1)=1,JunDom1+6,JunDom1+13)</f>
        <v>44359</v>
      </c>
      <c r="I5" s="10">
        <f>IF(DAY(JunDom1)=1,JunDom1+7,JunDom1+14)</f>
        <v>44360</v>
      </c>
      <c r="J5" s="5"/>
      <c r="K5" s="51"/>
      <c r="L5" s="17"/>
      <c r="M5" s="30"/>
      <c r="N5" s="31"/>
    </row>
    <row r="6" spans="1:14" ht="18" customHeight="1" x14ac:dyDescent="0.2">
      <c r="A6" s="4"/>
      <c r="B6" s="80"/>
      <c r="C6" s="10">
        <f>IF(DAY(JunDom1)=1,JunDom1+8,JunDom1+15)</f>
        <v>44361</v>
      </c>
      <c r="D6" s="10">
        <f>IF(DAY(JunDom1)=1,JunDom1+9,JunDom1+16)</f>
        <v>44362</v>
      </c>
      <c r="E6" s="10">
        <f>IF(DAY(JunDom1)=1,JunDom1+10,JunDom1+17)</f>
        <v>44363</v>
      </c>
      <c r="F6" s="10">
        <f>IF(DAY(JunDom1)=1,JunDom1+11,JunDom1+18)</f>
        <v>44364</v>
      </c>
      <c r="G6" s="10">
        <f>IF(DAY(JunDom1)=1,JunDom1+12,JunDom1+19)</f>
        <v>44365</v>
      </c>
      <c r="H6" s="10">
        <f>IF(DAY(JunDom1)=1,JunDom1+13,JunDom1+20)</f>
        <v>44366</v>
      </c>
      <c r="I6" s="10">
        <f>IF(DAY(JunDom1)=1,JunDom1+14,JunDom1+21)</f>
        <v>44367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IF(DAY(JunDom1)=1,JunDom1+15,JunDom1+22)</f>
        <v>44368</v>
      </c>
      <c r="D7" s="10">
        <f>IF(DAY(JunDom1)=1,JunDom1+16,JunDom1+23)</f>
        <v>44369</v>
      </c>
      <c r="E7" s="10">
        <f>IF(DAY(JunDom1)=1,JunDom1+17,JunDom1+24)</f>
        <v>44370</v>
      </c>
      <c r="F7" s="10">
        <f>IF(DAY(JunDom1)=1,JunDom1+18,JunDom1+25)</f>
        <v>44371</v>
      </c>
      <c r="G7" s="10">
        <f>IF(DAY(JunDom1)=1,JunDom1+19,JunDom1+26)</f>
        <v>44372</v>
      </c>
      <c r="H7" s="10">
        <f>IF(DAY(JunDom1)=1,JunDom1+20,JunDom1+27)</f>
        <v>44373</v>
      </c>
      <c r="I7" s="10">
        <f>IF(DAY(JunDom1)=1,JunDom1+21,JunDom1+28)</f>
        <v>44374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IF(DAY(JunDom1)=1,JunDom1+22,JunDom1+29)</f>
        <v>44375</v>
      </c>
      <c r="D8" s="10">
        <f>IF(DAY(JunDom1)=1,JunDom1+23,JunDom1+30)</f>
        <v>44376</v>
      </c>
      <c r="E8" s="10">
        <f>IF(DAY(JunDom1)=1,JunDom1+24,JunDom1+31)</f>
        <v>44377</v>
      </c>
      <c r="F8" s="10">
        <f>IF(DAY(JunDom1)=1,JunDom1+25,JunDom1+32)</f>
        <v>44378</v>
      </c>
      <c r="G8" s="10">
        <f>IF(DAY(JunDom1)=1,JunDom1+26,JunDom1+33)</f>
        <v>44379</v>
      </c>
      <c r="H8" s="10">
        <f>IF(DAY(JunDom1)=1,JunDom1+27,JunDom1+34)</f>
        <v>44380</v>
      </c>
      <c r="I8" s="10">
        <f>IF(DAY(JunDom1)=1,JunDom1+28,JunDom1+35)</f>
        <v>44381</v>
      </c>
      <c r="J8" s="5"/>
      <c r="K8" s="11"/>
      <c r="L8" s="17"/>
      <c r="M8" s="30"/>
      <c r="N8" s="31"/>
    </row>
    <row r="9" spans="1:14" ht="49.5" customHeight="1" x14ac:dyDescent="0.2">
      <c r="A9" s="4"/>
      <c r="B9" s="80"/>
      <c r="C9" s="10">
        <f>IF(DAY(JunDom1)=1,JunDom1+29,JunDom1+36)</f>
        <v>44382</v>
      </c>
      <c r="D9" s="10">
        <f>IF(DAY(JunDom1)=1,JunDom1+30,JunDom1+37)</f>
        <v>44383</v>
      </c>
      <c r="E9" s="10">
        <f>IF(DAY(JunDom1)=1,JunDom1+31,JunDom1+38)</f>
        <v>44384</v>
      </c>
      <c r="F9" s="10">
        <f>IF(DAY(JunDom1)=1,JunDom1+32,JunDom1+39)</f>
        <v>44385</v>
      </c>
      <c r="G9" s="10">
        <f>IF(DAY(JunDom1)=1,JunDom1+33,JunDom1+40)</f>
        <v>44386</v>
      </c>
      <c r="H9" s="10">
        <f>IF(DAY(JunDom1)=1,JunDom1+34,JunDom1+41)</f>
        <v>44387</v>
      </c>
      <c r="I9" s="10">
        <f>IF(DAY(JunDom1)=1,JunDom1+35,JunDom1+42)</f>
        <v>44388</v>
      </c>
      <c r="J9" s="5"/>
      <c r="K9" s="12"/>
      <c r="L9" s="18"/>
      <c r="M9" s="94"/>
      <c r="N9" s="95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0"/>
      <c r="N11" s="31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1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9" priority="4" stopIfTrue="1">
      <formula>DAY(C4)&gt;8</formula>
    </cfRule>
  </conditionalFormatting>
  <conditionalFormatting sqref="C8:I10">
    <cfRule type="expression" dxfId="18" priority="3" stopIfTrue="1">
      <formula>AND(DAY(C8)&gt;=1,DAY(C8)&lt;=15)</formula>
    </cfRule>
  </conditionalFormatting>
  <conditionalFormatting sqref="C4:I9">
    <cfRule type="expression" dxfId="17" priority="5">
      <formula>VLOOKUP(DAY(C4),DíasDeTareas,1,FALSE)=DAY(C4)</formula>
    </cfRule>
  </conditionalFormatting>
  <conditionalFormatting sqref="B14:J29 B33:J33">
    <cfRule type="expression" dxfId="16" priority="2">
      <formula>B14&lt;&gt;""</formula>
    </cfRule>
  </conditionalFormatting>
  <conditionalFormatting sqref="B30">
    <cfRule type="expression" dxfId="1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M10" activeCellId="1" sqref="M10:N10 M10:N10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17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IF(DAY(JulDom1)=1,JulDom1-6,JulDom1+1)</f>
        <v>44375</v>
      </c>
      <c r="D4" s="10">
        <f>IF(DAY(JulDom1)=1,JulDom1-5,JulDom1+2)</f>
        <v>44376</v>
      </c>
      <c r="E4" s="10">
        <f>IF(DAY(JulDom1)=1,JulDom1-4,JulDom1+3)</f>
        <v>44377</v>
      </c>
      <c r="F4" s="10">
        <f>IF(DAY(JulDom1)=1,JulDom1-3,JulDom1+4)</f>
        <v>44378</v>
      </c>
      <c r="G4" s="10">
        <f>IF(DAY(JulDom1)=1,JulDom1-2,JulDom1+5)</f>
        <v>44379</v>
      </c>
      <c r="H4" s="10">
        <f>IF(DAY(JulDom1)=1,JulDom1-1,JulDom1+6)</f>
        <v>44380</v>
      </c>
      <c r="I4" s="10">
        <f>IF(DAY(JulDom1)=1,JulDom1,JulDom1+7)</f>
        <v>44381</v>
      </c>
      <c r="J4" s="5"/>
      <c r="K4" s="52" t="s">
        <v>10</v>
      </c>
      <c r="L4" s="16"/>
      <c r="M4" s="53"/>
      <c r="N4" s="54"/>
    </row>
    <row r="5" spans="1:14" ht="18" customHeight="1" x14ac:dyDescent="0.2">
      <c r="A5" s="4"/>
      <c r="B5" s="80"/>
      <c r="C5" s="10">
        <f>IF(DAY(JulDom1)=1,JulDom1+1,JulDom1+8)</f>
        <v>44382</v>
      </c>
      <c r="D5" s="10">
        <f>IF(DAY(JulDom1)=1,JulDom1+2,JulDom1+9)</f>
        <v>44383</v>
      </c>
      <c r="E5" s="10">
        <f>IF(DAY(JulDom1)=1,JulDom1+3,JulDom1+10)</f>
        <v>44384</v>
      </c>
      <c r="F5" s="10">
        <f>IF(DAY(JulDom1)=1,JulDom1+4,JulDom1+11)</f>
        <v>44385</v>
      </c>
      <c r="G5" s="10">
        <f>IF(DAY(JulDom1)=1,JulDom1+5,JulDom1+12)</f>
        <v>44386</v>
      </c>
      <c r="H5" s="10">
        <f>IF(DAY(JulDom1)=1,JulDom1+6,JulDom1+13)</f>
        <v>44387</v>
      </c>
      <c r="I5" s="10">
        <f>IF(DAY(JulDom1)=1,JulDom1+7,JulDom1+14)</f>
        <v>44388</v>
      </c>
      <c r="J5" s="5"/>
      <c r="K5" s="51"/>
      <c r="L5" s="17"/>
      <c r="M5" s="30"/>
      <c r="N5" s="31"/>
    </row>
    <row r="6" spans="1:14" ht="18" customHeight="1" x14ac:dyDescent="0.2">
      <c r="A6" s="4"/>
      <c r="B6" s="80"/>
      <c r="C6" s="10">
        <f>IF(DAY(JulDom1)=1,JulDom1+8,JulDom1+15)</f>
        <v>44389</v>
      </c>
      <c r="D6" s="10">
        <f>IF(DAY(JulDom1)=1,JulDom1+9,JulDom1+16)</f>
        <v>44390</v>
      </c>
      <c r="E6" s="10">
        <f>IF(DAY(JulDom1)=1,JulDom1+10,JulDom1+17)</f>
        <v>44391</v>
      </c>
      <c r="F6" s="10">
        <f>IF(DAY(JulDom1)=1,JulDom1+11,JulDom1+18)</f>
        <v>44392</v>
      </c>
      <c r="G6" s="10">
        <f>IF(DAY(JulDom1)=1,JulDom1+12,JulDom1+19)</f>
        <v>44393</v>
      </c>
      <c r="H6" s="10">
        <f>IF(DAY(JulDom1)=1,JulDom1+13,JulDom1+20)</f>
        <v>44394</v>
      </c>
      <c r="I6" s="10">
        <f>IF(DAY(JulDom1)=1,JulDom1+14,JulDom1+21)</f>
        <v>44395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IF(DAY(JulDom1)=1,JulDom1+15,JulDom1+22)</f>
        <v>44396</v>
      </c>
      <c r="D7" s="10">
        <f>IF(DAY(JulDom1)=1,JulDom1+16,JulDom1+23)</f>
        <v>44397</v>
      </c>
      <c r="E7" s="10">
        <f>IF(DAY(JulDom1)=1,JulDom1+17,JulDom1+24)</f>
        <v>44398</v>
      </c>
      <c r="F7" s="10">
        <f>IF(DAY(JulDom1)=1,JulDom1+18,JulDom1+25)</f>
        <v>44399</v>
      </c>
      <c r="G7" s="10">
        <f>IF(DAY(JulDom1)=1,JulDom1+19,JulDom1+26)</f>
        <v>44400</v>
      </c>
      <c r="H7" s="10">
        <f>IF(DAY(JulDom1)=1,JulDom1+20,JulDom1+27)</f>
        <v>44401</v>
      </c>
      <c r="I7" s="10">
        <f>IF(DAY(JulDom1)=1,JulDom1+21,JulDom1+28)</f>
        <v>44402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IF(DAY(JulDom1)=1,JulDom1+22,JulDom1+29)</f>
        <v>44403</v>
      </c>
      <c r="D8" s="10">
        <f>IF(DAY(JulDom1)=1,JulDom1+23,JulDom1+30)</f>
        <v>44404</v>
      </c>
      <c r="E8" s="10">
        <f>IF(DAY(JulDom1)=1,JulDom1+24,JulDom1+31)</f>
        <v>44405</v>
      </c>
      <c r="F8" s="10">
        <f>IF(DAY(JulDom1)=1,JulDom1+25,JulDom1+32)</f>
        <v>44406</v>
      </c>
      <c r="G8" s="10">
        <f>IF(DAY(JulDom1)=1,JulDom1+26,JulDom1+33)</f>
        <v>44407</v>
      </c>
      <c r="H8" s="10">
        <f>IF(DAY(JulDom1)=1,JulDom1+27,JulDom1+34)</f>
        <v>44408</v>
      </c>
      <c r="I8" s="10">
        <f>IF(DAY(JulDom1)=1,JulDom1+28,JulDom1+35)</f>
        <v>44409</v>
      </c>
      <c r="J8" s="5"/>
      <c r="K8" s="11"/>
      <c r="L8" s="17"/>
      <c r="M8" s="30"/>
      <c r="N8" s="31"/>
    </row>
    <row r="9" spans="1:14" ht="18" customHeight="1" x14ac:dyDescent="0.2">
      <c r="A9" s="4"/>
      <c r="B9" s="80"/>
      <c r="C9" s="10">
        <f>IF(DAY(JulDom1)=1,JulDom1+29,JulDom1+36)</f>
        <v>44410</v>
      </c>
      <c r="D9" s="10">
        <f>IF(DAY(JulDom1)=1,JulDom1+30,JulDom1+37)</f>
        <v>44411</v>
      </c>
      <c r="E9" s="10">
        <f>IF(DAY(JulDom1)=1,JulDom1+31,JulDom1+38)</f>
        <v>44412</v>
      </c>
      <c r="F9" s="10">
        <f>IF(DAY(JulDom1)=1,JulDom1+32,JulDom1+39)</f>
        <v>44413</v>
      </c>
      <c r="G9" s="10">
        <f>IF(DAY(JulDom1)=1,JulDom1+33,JulDom1+40)</f>
        <v>44414</v>
      </c>
      <c r="H9" s="10">
        <f>IF(DAY(JulDom1)=1,JulDom1+34,JulDom1+41)</f>
        <v>44415</v>
      </c>
      <c r="I9" s="10">
        <f>IF(DAY(JulDom1)=1,JulDom1+35,JulDom1+42)</f>
        <v>44416</v>
      </c>
      <c r="J9" s="5"/>
      <c r="K9" s="12"/>
      <c r="L9" s="18"/>
      <c r="M9" s="32"/>
      <c r="N9" s="33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96"/>
      <c r="N10" s="97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30"/>
      <c r="N11" s="31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1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14" priority="4" stopIfTrue="1">
      <formula>DAY(C4)&gt;8</formula>
    </cfRule>
  </conditionalFormatting>
  <conditionalFormatting sqref="C8:I10">
    <cfRule type="expression" dxfId="13" priority="3" stopIfTrue="1">
      <formula>AND(DAY(C8)&gt;=1,DAY(C8)&lt;=15)</formula>
    </cfRule>
  </conditionalFormatting>
  <conditionalFormatting sqref="C4:I9">
    <cfRule type="expression" dxfId="12" priority="5">
      <formula>VLOOKUP(DAY(C4),DíasDeTareas,1,FALSE)=DAY(C4)</formula>
    </cfRule>
  </conditionalFormatting>
  <conditionalFormatting sqref="B14:J29 B33:J33">
    <cfRule type="expression" dxfId="11" priority="2">
      <formula>B14&lt;&gt;""</formula>
    </cfRule>
  </conditionalFormatting>
  <conditionalFormatting sqref="B30">
    <cfRule type="expression" dxfId="1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I23" sqref="I23:J2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79" t="s">
        <v>16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IF(DAY(AgoDom1)=1,AgoDom1-6,AgoDom1+1)</f>
        <v>44403</v>
      </c>
      <c r="D4" s="10">
        <f>IF(DAY(AgoDom1)=1,AgoDom1-5,AgoDom1+2)</f>
        <v>44404</v>
      </c>
      <c r="E4" s="10">
        <f>IF(DAY(AgoDom1)=1,AgoDom1-4,AgoDom1+3)</f>
        <v>44405</v>
      </c>
      <c r="F4" s="10">
        <f>IF(DAY(AgoDom1)=1,AgoDom1-3,AgoDom1+4)</f>
        <v>44406</v>
      </c>
      <c r="G4" s="10">
        <f>IF(DAY(AgoDom1)=1,AgoDom1-2,AgoDom1+5)</f>
        <v>44407</v>
      </c>
      <c r="H4" s="10">
        <f>IF(DAY(AgoDom1)=1,AgoDom1-1,AgoDom1+6)</f>
        <v>44408</v>
      </c>
      <c r="I4" s="10">
        <f>IF(DAY(AgoDom1)=1,AgoDom1,AgoDom1+7)</f>
        <v>44409</v>
      </c>
      <c r="J4" s="5"/>
      <c r="K4" s="52" t="s">
        <v>10</v>
      </c>
      <c r="L4" s="16"/>
      <c r="M4" s="53"/>
      <c r="N4" s="54"/>
    </row>
    <row r="5" spans="1:14" ht="18" customHeight="1" x14ac:dyDescent="0.2">
      <c r="A5" s="4"/>
      <c r="B5" s="80"/>
      <c r="C5" s="10">
        <f>IF(DAY(AgoDom1)=1,AgoDom1+1,AgoDom1+8)</f>
        <v>44410</v>
      </c>
      <c r="D5" s="10">
        <f>IF(DAY(AgoDom1)=1,AgoDom1+2,AgoDom1+9)</f>
        <v>44411</v>
      </c>
      <c r="E5" s="10">
        <f>IF(DAY(AgoDom1)=1,AgoDom1+3,AgoDom1+10)</f>
        <v>44412</v>
      </c>
      <c r="F5" s="10">
        <f>IF(DAY(AgoDom1)=1,AgoDom1+4,AgoDom1+11)</f>
        <v>44413</v>
      </c>
      <c r="G5" s="10">
        <f>IF(DAY(AgoDom1)=1,AgoDom1+5,AgoDom1+12)</f>
        <v>44414</v>
      </c>
      <c r="H5" s="10">
        <f>IF(DAY(AgoDom1)=1,AgoDom1+6,AgoDom1+13)</f>
        <v>44415</v>
      </c>
      <c r="I5" s="10">
        <f>IF(DAY(AgoDom1)=1,AgoDom1+7,AgoDom1+14)</f>
        <v>44416</v>
      </c>
      <c r="J5" s="5"/>
      <c r="K5" s="51"/>
      <c r="L5" s="17"/>
      <c r="M5" s="30"/>
      <c r="N5" s="31"/>
    </row>
    <row r="6" spans="1:14" ht="18" customHeight="1" x14ac:dyDescent="0.2">
      <c r="A6" s="4"/>
      <c r="B6" s="80"/>
      <c r="C6" s="10">
        <f>IF(DAY(AgoDom1)=1,AgoDom1+8,AgoDom1+15)</f>
        <v>44417</v>
      </c>
      <c r="D6" s="10">
        <f>IF(DAY(AgoDom1)=1,AgoDom1+9,AgoDom1+16)</f>
        <v>44418</v>
      </c>
      <c r="E6" s="10">
        <f>IF(DAY(AgoDom1)=1,AgoDom1+10,AgoDom1+17)</f>
        <v>44419</v>
      </c>
      <c r="F6" s="10">
        <f>IF(DAY(AgoDom1)=1,AgoDom1+11,AgoDom1+18)</f>
        <v>44420</v>
      </c>
      <c r="G6" s="10">
        <f>IF(DAY(AgoDom1)=1,AgoDom1+12,AgoDom1+19)</f>
        <v>44421</v>
      </c>
      <c r="H6" s="10">
        <f>IF(DAY(AgoDom1)=1,AgoDom1+13,AgoDom1+20)</f>
        <v>44422</v>
      </c>
      <c r="I6" s="10">
        <f>IF(DAY(AgoDom1)=1,AgoDom1+14,AgoDom1+21)</f>
        <v>44423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IF(DAY(AgoDom1)=1,AgoDom1+15,AgoDom1+22)</f>
        <v>44424</v>
      </c>
      <c r="D7" s="10">
        <f>IF(DAY(AgoDom1)=1,AgoDom1+16,AgoDom1+23)</f>
        <v>44425</v>
      </c>
      <c r="E7" s="10">
        <f>IF(DAY(AgoDom1)=1,AgoDom1+17,AgoDom1+24)</f>
        <v>44426</v>
      </c>
      <c r="F7" s="10">
        <f>IF(DAY(AgoDom1)=1,AgoDom1+18,AgoDom1+25)</f>
        <v>44427</v>
      </c>
      <c r="G7" s="10">
        <f>IF(DAY(AgoDom1)=1,AgoDom1+19,AgoDom1+26)</f>
        <v>44428</v>
      </c>
      <c r="H7" s="10">
        <f>IF(DAY(AgoDom1)=1,AgoDom1+20,AgoDom1+27)</f>
        <v>44429</v>
      </c>
      <c r="I7" s="10">
        <f>IF(DAY(AgoDom1)=1,AgoDom1+21,AgoDom1+28)</f>
        <v>44430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IF(DAY(AgoDom1)=1,AgoDom1+22,AgoDom1+29)</f>
        <v>44431</v>
      </c>
      <c r="D8" s="10">
        <f>IF(DAY(AgoDom1)=1,AgoDom1+23,AgoDom1+30)</f>
        <v>44432</v>
      </c>
      <c r="E8" s="10">
        <f>IF(DAY(AgoDom1)=1,AgoDom1+24,AgoDom1+31)</f>
        <v>44433</v>
      </c>
      <c r="F8" s="10">
        <f>IF(DAY(AgoDom1)=1,AgoDom1+25,AgoDom1+32)</f>
        <v>44434</v>
      </c>
      <c r="G8" s="10">
        <f>IF(DAY(AgoDom1)=1,AgoDom1+26,AgoDom1+33)</f>
        <v>44435</v>
      </c>
      <c r="H8" s="10">
        <f>IF(DAY(AgoDom1)=1,AgoDom1+27,AgoDom1+34)</f>
        <v>44436</v>
      </c>
      <c r="I8" s="10">
        <f>IF(DAY(AgoDom1)=1,AgoDom1+28,AgoDom1+35)</f>
        <v>44437</v>
      </c>
      <c r="J8" s="5"/>
      <c r="K8" s="11"/>
      <c r="L8" s="17"/>
      <c r="M8" s="30"/>
      <c r="N8" s="31"/>
    </row>
    <row r="9" spans="1:14" ht="18" customHeight="1" x14ac:dyDescent="0.2">
      <c r="A9" s="4"/>
      <c r="B9" s="80"/>
      <c r="C9" s="10">
        <f>IF(DAY(AgoDom1)=1,AgoDom1+29,AgoDom1+36)</f>
        <v>44438</v>
      </c>
      <c r="D9" s="10">
        <f>IF(DAY(AgoDom1)=1,AgoDom1+30,AgoDom1+37)</f>
        <v>44439</v>
      </c>
      <c r="E9" s="10">
        <f>IF(DAY(AgoDom1)=1,AgoDom1+31,AgoDom1+38)</f>
        <v>44440</v>
      </c>
      <c r="F9" s="10">
        <f>IF(DAY(AgoDom1)=1,AgoDom1+32,AgoDom1+39)</f>
        <v>44441</v>
      </c>
      <c r="G9" s="10">
        <f>IF(DAY(AgoDom1)=1,AgoDom1+33,AgoDom1+40)</f>
        <v>44442</v>
      </c>
      <c r="H9" s="10">
        <f>IF(DAY(AgoDom1)=1,AgoDom1+34,AgoDom1+41)</f>
        <v>44443</v>
      </c>
      <c r="I9" s="10">
        <f>IF(DAY(AgoDom1)=1,AgoDom1+35,AgoDom1+42)</f>
        <v>44444</v>
      </c>
      <c r="J9" s="5"/>
      <c r="K9" s="12"/>
      <c r="L9" s="18"/>
      <c r="M9" s="32"/>
      <c r="N9" s="33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96"/>
      <c r="N11" s="97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1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8" priority="3" stopIfTrue="1">
      <formula>AND(DAY(C8)&gt;=1,DAY(C8)&lt;=15)</formula>
    </cfRule>
  </conditionalFormatting>
  <conditionalFormatting sqref="C4:I9">
    <cfRule type="expression" dxfId="7" priority="5">
      <formula>VLOOKUP(DAY(C4),DíasDeTareas,1,FALSE)=DAY(C4)</formula>
    </cfRule>
  </conditionalFormatting>
  <conditionalFormatting sqref="B14:J29 B33:J33">
    <cfRule type="expression" dxfId="6" priority="2">
      <formula>B14&lt;&gt;""</formula>
    </cfRule>
  </conditionalFormatting>
  <conditionalFormatting sqref="B30">
    <cfRule type="expression" dxfId="5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view="pageBreakPreview" zoomScale="60" zoomScaleNormal="100" zoomScalePageLayoutView="84" workbookViewId="0">
      <selection activeCell="Q7" sqref="Q7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79" t="s">
        <v>15</v>
      </c>
      <c r="C2" s="21"/>
      <c r="D2" s="21"/>
      <c r="E2" s="21"/>
      <c r="F2" s="21"/>
      <c r="G2" s="21"/>
      <c r="H2" s="21"/>
      <c r="I2" s="21"/>
      <c r="J2" s="22"/>
      <c r="K2" s="46" t="s">
        <v>2</v>
      </c>
      <c r="L2" s="47">
        <v>2013</v>
      </c>
      <c r="M2" s="47"/>
      <c r="N2" s="25"/>
    </row>
    <row r="3" spans="1:14" ht="21" customHeight="1" x14ac:dyDescent="0.2">
      <c r="A3" s="4"/>
      <c r="B3" s="8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48"/>
      <c r="L3" s="49"/>
      <c r="M3" s="49"/>
      <c r="N3" s="26"/>
    </row>
    <row r="4" spans="1:14" ht="18" customHeight="1" x14ac:dyDescent="0.2">
      <c r="A4" s="4"/>
      <c r="B4" s="80"/>
      <c r="C4" s="10">
        <f>IF(DAY(SepDom1)=1,SepDom1-6,SepDom1+1)</f>
        <v>44438</v>
      </c>
      <c r="D4" s="10">
        <f>IF(DAY(SepDom1)=1,SepDom1-5,SepDom1+2)</f>
        <v>44439</v>
      </c>
      <c r="E4" s="10">
        <f>IF(DAY(SepDom1)=1,SepDom1-4,SepDom1+3)</f>
        <v>44440</v>
      </c>
      <c r="F4" s="10">
        <f>IF(DAY(SepDom1)=1,SepDom1-3,SepDom1+4)</f>
        <v>44441</v>
      </c>
      <c r="G4" s="10">
        <f>IF(DAY(SepDom1)=1,SepDom1-2,SepDom1+5)</f>
        <v>44442</v>
      </c>
      <c r="H4" s="10">
        <f>IF(DAY(SepDom1)=1,SepDom1-1,SepDom1+6)</f>
        <v>44443</v>
      </c>
      <c r="I4" s="10">
        <f>IF(DAY(SepDom1)=1,SepDom1,SepDom1+7)</f>
        <v>44444</v>
      </c>
      <c r="J4" s="5"/>
      <c r="K4" s="52" t="s">
        <v>10</v>
      </c>
      <c r="L4" s="16"/>
      <c r="M4" s="53"/>
      <c r="N4" s="54"/>
    </row>
    <row r="5" spans="1:14" ht="18" customHeight="1" x14ac:dyDescent="0.2">
      <c r="A5" s="4"/>
      <c r="B5" s="80"/>
      <c r="C5" s="10">
        <f>IF(DAY(SepDom1)=1,SepDom1+1,SepDom1+8)</f>
        <v>44445</v>
      </c>
      <c r="D5" s="10">
        <f>IF(DAY(SepDom1)=1,SepDom1+2,SepDom1+9)</f>
        <v>44446</v>
      </c>
      <c r="E5" s="10">
        <f>IF(DAY(SepDom1)=1,SepDom1+3,SepDom1+10)</f>
        <v>44447</v>
      </c>
      <c r="F5" s="10">
        <f>IF(DAY(SepDom1)=1,SepDom1+4,SepDom1+11)</f>
        <v>44448</v>
      </c>
      <c r="G5" s="10">
        <f>IF(DAY(SepDom1)=1,SepDom1+5,SepDom1+12)</f>
        <v>44449</v>
      </c>
      <c r="H5" s="10">
        <f>IF(DAY(SepDom1)=1,SepDom1+6,SepDom1+13)</f>
        <v>44450</v>
      </c>
      <c r="I5" s="10">
        <f>IF(DAY(SepDom1)=1,SepDom1+7,SepDom1+14)</f>
        <v>44451</v>
      </c>
      <c r="J5" s="5"/>
      <c r="K5" s="51"/>
      <c r="L5" s="17"/>
      <c r="M5" s="30"/>
      <c r="N5" s="31"/>
    </row>
    <row r="6" spans="1:14" ht="18" customHeight="1" x14ac:dyDescent="0.2">
      <c r="A6" s="4"/>
      <c r="B6" s="80"/>
      <c r="C6" s="10">
        <f>IF(DAY(SepDom1)=1,SepDom1+8,SepDom1+15)</f>
        <v>44452</v>
      </c>
      <c r="D6" s="10">
        <f>IF(DAY(SepDom1)=1,SepDom1+9,SepDom1+16)</f>
        <v>44453</v>
      </c>
      <c r="E6" s="10">
        <f>IF(DAY(SepDom1)=1,SepDom1+10,SepDom1+17)</f>
        <v>44454</v>
      </c>
      <c r="F6" s="10">
        <f>IF(DAY(SepDom1)=1,SepDom1+11,SepDom1+18)</f>
        <v>44455</v>
      </c>
      <c r="G6" s="10">
        <f>IF(DAY(SepDom1)=1,SepDom1+12,SepDom1+19)</f>
        <v>44456</v>
      </c>
      <c r="H6" s="10">
        <f>IF(DAY(SepDom1)=1,SepDom1+13,SepDom1+20)</f>
        <v>44457</v>
      </c>
      <c r="I6" s="10">
        <f>IF(DAY(SepDom1)=1,SepDom1+14,SepDom1+21)</f>
        <v>44458</v>
      </c>
      <c r="J6" s="5"/>
      <c r="K6" s="51"/>
      <c r="L6" s="17"/>
      <c r="M6" s="30"/>
      <c r="N6" s="31"/>
    </row>
    <row r="7" spans="1:14" ht="18" customHeight="1" x14ac:dyDescent="0.2">
      <c r="A7" s="4"/>
      <c r="B7" s="80"/>
      <c r="C7" s="10">
        <f>IF(DAY(SepDom1)=1,SepDom1+15,SepDom1+22)</f>
        <v>44459</v>
      </c>
      <c r="D7" s="10">
        <f>IF(DAY(SepDom1)=1,SepDom1+16,SepDom1+23)</f>
        <v>44460</v>
      </c>
      <c r="E7" s="10">
        <f>IF(DAY(SepDom1)=1,SepDom1+17,SepDom1+24)</f>
        <v>44461</v>
      </c>
      <c r="F7" s="10">
        <f>IF(DAY(SepDom1)=1,SepDom1+18,SepDom1+25)</f>
        <v>44462</v>
      </c>
      <c r="G7" s="10">
        <f>IF(DAY(SepDom1)=1,SepDom1+19,SepDom1+26)</f>
        <v>44463</v>
      </c>
      <c r="H7" s="10">
        <f>IF(DAY(SepDom1)=1,SepDom1+20,SepDom1+27)</f>
        <v>44464</v>
      </c>
      <c r="I7" s="10">
        <f>IF(DAY(SepDom1)=1,SepDom1+21,SepDom1+28)</f>
        <v>44465</v>
      </c>
      <c r="J7" s="5"/>
      <c r="K7" s="11"/>
      <c r="L7" s="17"/>
      <c r="M7" s="30"/>
      <c r="N7" s="31"/>
    </row>
    <row r="8" spans="1:14" ht="18.75" customHeight="1" x14ac:dyDescent="0.2">
      <c r="A8" s="4"/>
      <c r="B8" s="80"/>
      <c r="C8" s="10">
        <f>IF(DAY(SepDom1)=1,SepDom1+22,SepDom1+29)</f>
        <v>44466</v>
      </c>
      <c r="D8" s="10">
        <f>IF(DAY(SepDom1)=1,SepDom1+23,SepDom1+30)</f>
        <v>44467</v>
      </c>
      <c r="E8" s="10">
        <f>IF(DAY(SepDom1)=1,SepDom1+24,SepDom1+31)</f>
        <v>44468</v>
      </c>
      <c r="F8" s="10">
        <f>IF(DAY(SepDom1)=1,SepDom1+25,SepDom1+32)</f>
        <v>44469</v>
      </c>
      <c r="G8" s="10">
        <f>IF(DAY(SepDom1)=1,SepDom1+26,SepDom1+33)</f>
        <v>44470</v>
      </c>
      <c r="H8" s="10">
        <f>IF(DAY(SepDom1)=1,SepDom1+27,SepDom1+34)</f>
        <v>44471</v>
      </c>
      <c r="I8" s="10">
        <f>IF(DAY(SepDom1)=1,SepDom1+28,SepDom1+35)</f>
        <v>44472</v>
      </c>
      <c r="J8" s="5"/>
      <c r="K8" s="11"/>
      <c r="L8" s="17"/>
      <c r="M8" s="30"/>
      <c r="N8" s="31"/>
    </row>
    <row r="9" spans="1:14" ht="18" customHeight="1" x14ac:dyDescent="0.2">
      <c r="A9" s="4"/>
      <c r="B9" s="80"/>
      <c r="C9" s="10">
        <f>IF(DAY(SepDom1)=1,SepDom1+29,SepDom1+36)</f>
        <v>44473</v>
      </c>
      <c r="D9" s="10">
        <f>IF(DAY(SepDom1)=1,SepDom1+30,SepDom1+37)</f>
        <v>44474</v>
      </c>
      <c r="E9" s="10">
        <f>IF(DAY(SepDom1)=1,SepDom1+31,SepDom1+38)</f>
        <v>44475</v>
      </c>
      <c r="F9" s="10">
        <f>IF(DAY(SepDom1)=1,SepDom1+32,SepDom1+39)</f>
        <v>44476</v>
      </c>
      <c r="G9" s="10">
        <f>IF(DAY(SepDom1)=1,SepDom1+33,SepDom1+40)</f>
        <v>44477</v>
      </c>
      <c r="H9" s="10">
        <f>IF(DAY(SepDom1)=1,SepDom1+34,SepDom1+41)</f>
        <v>44478</v>
      </c>
      <c r="I9" s="10">
        <f>IF(DAY(SepDom1)=1,SepDom1+35,SepDom1+42)</f>
        <v>44479</v>
      </c>
      <c r="J9" s="5"/>
      <c r="K9" s="12"/>
      <c r="L9" s="18"/>
      <c r="M9" s="32"/>
      <c r="N9" s="33"/>
    </row>
    <row r="10" spans="1:14" ht="18" customHeight="1" x14ac:dyDescent="0.2">
      <c r="A10" s="4"/>
      <c r="B10" s="81"/>
      <c r="C10" s="23"/>
      <c r="D10" s="23"/>
      <c r="E10" s="23"/>
      <c r="F10" s="23"/>
      <c r="G10" s="23"/>
      <c r="H10" s="23"/>
      <c r="I10" s="23"/>
      <c r="J10" s="24"/>
      <c r="K10" s="50" t="s">
        <v>11</v>
      </c>
      <c r="L10" s="16"/>
      <c r="M10" s="34"/>
      <c r="N10" s="35"/>
    </row>
    <row r="11" spans="1:14" ht="18" customHeight="1" x14ac:dyDescent="0.2">
      <c r="A11" s="4"/>
      <c r="B11" s="82" t="s">
        <v>9</v>
      </c>
      <c r="C11" s="83"/>
      <c r="D11" s="83"/>
      <c r="E11" s="83"/>
      <c r="F11" s="83"/>
      <c r="G11" s="83"/>
      <c r="H11" s="83"/>
      <c r="I11" s="83"/>
      <c r="J11" s="84"/>
      <c r="K11" s="51"/>
      <c r="L11" s="17"/>
      <c r="M11" s="96"/>
      <c r="N11" s="97"/>
    </row>
    <row r="12" spans="1:14" ht="18" customHeight="1" x14ac:dyDescent="0.2">
      <c r="A12" s="4"/>
      <c r="B12" s="82"/>
      <c r="C12" s="83"/>
      <c r="D12" s="83"/>
      <c r="E12" s="83"/>
      <c r="F12" s="83"/>
      <c r="G12" s="83"/>
      <c r="H12" s="83"/>
      <c r="I12" s="83"/>
      <c r="J12" s="84"/>
      <c r="K12" s="51"/>
      <c r="L12" s="17"/>
      <c r="M12" s="30"/>
      <c r="N12" s="31"/>
    </row>
    <row r="13" spans="1:14" ht="18" customHeight="1" x14ac:dyDescent="0.2">
      <c r="B13" s="3" t="s">
        <v>10</v>
      </c>
      <c r="C13" s="44" t="s">
        <v>11</v>
      </c>
      <c r="D13" s="45"/>
      <c r="E13" s="44" t="s">
        <v>12</v>
      </c>
      <c r="F13" s="45"/>
      <c r="G13" s="44" t="s">
        <v>13</v>
      </c>
      <c r="H13" s="45"/>
      <c r="I13" s="44" t="s">
        <v>14</v>
      </c>
      <c r="J13" s="65"/>
      <c r="K13" s="11"/>
      <c r="L13" s="17"/>
      <c r="M13" s="30"/>
      <c r="N13" s="31"/>
    </row>
    <row r="14" spans="1:14" ht="18" customHeight="1" x14ac:dyDescent="0.2">
      <c r="B14" s="8"/>
      <c r="C14" s="40"/>
      <c r="D14" s="41"/>
      <c r="E14" s="40"/>
      <c r="F14" s="41"/>
      <c r="G14" s="40"/>
      <c r="H14" s="41"/>
      <c r="I14" s="40"/>
      <c r="J14" s="63"/>
      <c r="K14" s="11"/>
      <c r="L14" s="17"/>
      <c r="M14" s="30"/>
      <c r="N14" s="31"/>
    </row>
    <row r="15" spans="1:14" ht="18" customHeight="1" x14ac:dyDescent="0.2">
      <c r="B15" s="6"/>
      <c r="C15" s="38"/>
      <c r="D15" s="39"/>
      <c r="E15" s="38"/>
      <c r="F15" s="39"/>
      <c r="G15" s="38"/>
      <c r="H15" s="39"/>
      <c r="I15" s="66"/>
      <c r="J15" s="67"/>
      <c r="K15" s="13"/>
      <c r="L15" s="19"/>
      <c r="M15" s="32"/>
      <c r="N15" s="33"/>
    </row>
    <row r="16" spans="1:14" ht="18" customHeight="1" x14ac:dyDescent="0.2">
      <c r="B16" s="8"/>
      <c r="C16" s="40"/>
      <c r="D16" s="41"/>
      <c r="E16" s="40"/>
      <c r="F16" s="41"/>
      <c r="G16" s="40"/>
      <c r="H16" s="41"/>
      <c r="I16" s="87"/>
      <c r="J16" s="88"/>
      <c r="K16" s="42" t="s">
        <v>12</v>
      </c>
      <c r="L16" s="16"/>
      <c r="M16" s="34"/>
      <c r="N16" s="35"/>
    </row>
    <row r="17" spans="2:14" ht="18" customHeight="1" x14ac:dyDescent="0.2">
      <c r="B17" s="6"/>
      <c r="C17" s="38"/>
      <c r="D17" s="39"/>
      <c r="E17" s="38"/>
      <c r="F17" s="39"/>
      <c r="G17" s="38"/>
      <c r="H17" s="39"/>
      <c r="I17" s="66"/>
      <c r="J17" s="67"/>
      <c r="K17" s="43"/>
      <c r="L17" s="17"/>
      <c r="M17" s="30"/>
      <c r="N17" s="31"/>
    </row>
    <row r="18" spans="2:14" ht="18" customHeight="1" x14ac:dyDescent="0.2">
      <c r="B18" s="9"/>
      <c r="C18" s="68"/>
      <c r="D18" s="69"/>
      <c r="E18" s="68"/>
      <c r="F18" s="69"/>
      <c r="G18" s="68"/>
      <c r="H18" s="69"/>
      <c r="I18" s="68"/>
      <c r="J18" s="70"/>
      <c r="K18" s="43"/>
      <c r="L18" s="17"/>
      <c r="M18" s="30"/>
      <c r="N18" s="31"/>
    </row>
    <row r="19" spans="2:14" ht="18" customHeight="1" x14ac:dyDescent="0.2">
      <c r="B19" s="6"/>
      <c r="C19" s="38"/>
      <c r="D19" s="39"/>
      <c r="E19" s="38"/>
      <c r="F19" s="39"/>
      <c r="G19" s="38"/>
      <c r="H19" s="39"/>
      <c r="I19" s="66"/>
      <c r="J19" s="67"/>
      <c r="K19" s="11"/>
      <c r="L19" s="17"/>
      <c r="M19" s="30"/>
      <c r="N19" s="31"/>
    </row>
    <row r="20" spans="2:14" ht="18" customHeight="1" x14ac:dyDescent="0.2">
      <c r="B20" s="8"/>
      <c r="C20" s="40"/>
      <c r="D20" s="41"/>
      <c r="E20" s="40"/>
      <c r="F20" s="41"/>
      <c r="G20" s="40"/>
      <c r="H20" s="41"/>
      <c r="I20" s="40"/>
      <c r="J20" s="63"/>
      <c r="K20" s="11"/>
      <c r="L20" s="17"/>
      <c r="M20" s="30"/>
      <c r="N20" s="31"/>
    </row>
    <row r="21" spans="2:14" ht="18" customHeight="1" x14ac:dyDescent="0.2">
      <c r="B21" s="6"/>
      <c r="C21" s="38"/>
      <c r="D21" s="39"/>
      <c r="E21" s="38"/>
      <c r="F21" s="39"/>
      <c r="G21" s="38"/>
      <c r="H21" s="39"/>
      <c r="I21" s="85"/>
      <c r="J21" s="86"/>
      <c r="K21" s="13"/>
      <c r="L21" s="19"/>
      <c r="M21" s="32"/>
      <c r="N21" s="33"/>
    </row>
    <row r="22" spans="2:14" ht="18" customHeight="1" x14ac:dyDescent="0.2">
      <c r="B22" s="8"/>
      <c r="C22" s="40"/>
      <c r="D22" s="41"/>
      <c r="E22" s="40"/>
      <c r="F22" s="41"/>
      <c r="G22" s="40"/>
      <c r="H22" s="41"/>
      <c r="I22" s="40"/>
      <c r="J22" s="63"/>
      <c r="K22" s="42" t="s">
        <v>13</v>
      </c>
      <c r="L22" s="16"/>
      <c r="M22" s="34"/>
      <c r="N22" s="35"/>
    </row>
    <row r="23" spans="2:14" ht="18" customHeight="1" x14ac:dyDescent="0.2">
      <c r="B23" s="6"/>
      <c r="C23" s="38"/>
      <c r="D23" s="39"/>
      <c r="E23" s="38"/>
      <c r="F23" s="39"/>
      <c r="G23" s="38"/>
      <c r="H23" s="39"/>
      <c r="I23" s="66"/>
      <c r="J23" s="67"/>
      <c r="K23" s="43"/>
      <c r="L23" s="17"/>
      <c r="M23" s="30"/>
      <c r="N23" s="31"/>
    </row>
    <row r="24" spans="2:14" ht="18" customHeight="1" x14ac:dyDescent="0.2">
      <c r="B24" s="8"/>
      <c r="C24" s="40"/>
      <c r="D24" s="41"/>
      <c r="E24" s="40"/>
      <c r="F24" s="41"/>
      <c r="G24" s="40"/>
      <c r="H24" s="41"/>
      <c r="I24" s="40"/>
      <c r="J24" s="63"/>
      <c r="K24" s="43"/>
      <c r="L24" s="17"/>
      <c r="M24" s="30"/>
      <c r="N24" s="31"/>
    </row>
    <row r="25" spans="2:14" ht="18" customHeight="1" x14ac:dyDescent="0.2">
      <c r="B25" s="6"/>
      <c r="C25" s="38"/>
      <c r="D25" s="39"/>
      <c r="E25" s="38"/>
      <c r="F25" s="39"/>
      <c r="G25" s="38"/>
      <c r="H25" s="39"/>
      <c r="I25" s="66"/>
      <c r="J25" s="67"/>
      <c r="K25" s="43"/>
      <c r="L25" s="17"/>
      <c r="M25" s="30"/>
      <c r="N25" s="31"/>
    </row>
    <row r="26" spans="2:14" ht="18" customHeight="1" x14ac:dyDescent="0.2">
      <c r="B26" s="8"/>
      <c r="C26" s="40"/>
      <c r="D26" s="41"/>
      <c r="E26" s="40"/>
      <c r="F26" s="41"/>
      <c r="G26" s="40"/>
      <c r="H26" s="41"/>
      <c r="I26" s="40"/>
      <c r="J26" s="63"/>
      <c r="K26" s="11"/>
      <c r="L26" s="17"/>
      <c r="M26" s="30"/>
      <c r="N26" s="31"/>
    </row>
    <row r="27" spans="2:14" ht="18" customHeight="1" x14ac:dyDescent="0.2">
      <c r="B27" s="6"/>
      <c r="C27" s="38"/>
      <c r="D27" s="39"/>
      <c r="E27" s="38"/>
      <c r="F27" s="39"/>
      <c r="G27" s="38"/>
      <c r="H27" s="39"/>
      <c r="I27" s="66"/>
      <c r="J27" s="67"/>
      <c r="K27" s="13"/>
      <c r="L27" s="19"/>
      <c r="M27" s="32"/>
      <c r="N27" s="33"/>
    </row>
    <row r="28" spans="2:14" ht="18" customHeight="1" x14ac:dyDescent="0.2">
      <c r="B28" s="8"/>
      <c r="C28" s="40"/>
      <c r="D28" s="41"/>
      <c r="E28" s="40"/>
      <c r="F28" s="41"/>
      <c r="G28" s="40"/>
      <c r="H28" s="41"/>
      <c r="I28" s="40"/>
      <c r="J28" s="63"/>
      <c r="K28" s="50" t="s">
        <v>14</v>
      </c>
      <c r="L28" s="16"/>
      <c r="M28" s="34"/>
      <c r="N28" s="35"/>
    </row>
    <row r="29" spans="2:14" ht="18" customHeight="1" x14ac:dyDescent="0.2">
      <c r="B29" s="6"/>
      <c r="C29" s="38"/>
      <c r="D29" s="39"/>
      <c r="E29" s="38"/>
      <c r="F29" s="39"/>
      <c r="G29" s="38"/>
      <c r="H29" s="39"/>
      <c r="I29" s="38"/>
      <c r="J29" s="64"/>
      <c r="K29" s="51"/>
      <c r="L29" s="17"/>
      <c r="M29" s="30"/>
      <c r="N29" s="31"/>
    </row>
    <row r="30" spans="2:14" ht="18" customHeight="1" x14ac:dyDescent="0.2">
      <c r="B30" s="73" t="s">
        <v>23</v>
      </c>
      <c r="C30" s="74"/>
      <c r="D30" s="74"/>
      <c r="E30" s="74"/>
      <c r="F30" s="74"/>
      <c r="G30" s="74"/>
      <c r="H30" s="74"/>
      <c r="I30" s="74"/>
      <c r="J30" s="75"/>
      <c r="K30" s="51"/>
      <c r="L30" s="17"/>
      <c r="M30" s="30"/>
      <c r="N30" s="31"/>
    </row>
    <row r="31" spans="2:14" ht="18" customHeight="1" x14ac:dyDescent="0.2">
      <c r="B31" s="76"/>
      <c r="C31" s="77"/>
      <c r="D31" s="77"/>
      <c r="E31" s="77"/>
      <c r="F31" s="77"/>
      <c r="G31" s="77"/>
      <c r="H31" s="77"/>
      <c r="I31" s="77"/>
      <c r="J31" s="78"/>
      <c r="K31" s="14"/>
      <c r="L31" s="17"/>
      <c r="M31" s="30"/>
      <c r="N31" s="31"/>
    </row>
    <row r="32" spans="2:14" ht="18" customHeight="1" x14ac:dyDescent="0.2">
      <c r="B32" s="76"/>
      <c r="C32" s="77"/>
      <c r="D32" s="77"/>
      <c r="E32" s="77"/>
      <c r="F32" s="77"/>
      <c r="G32" s="77"/>
      <c r="H32" s="77"/>
      <c r="I32" s="77"/>
      <c r="J32" s="78"/>
      <c r="K32" s="14"/>
      <c r="L32" s="17"/>
      <c r="M32" s="30"/>
      <c r="N32" s="31"/>
    </row>
    <row r="33" spans="2:14" ht="18" customHeight="1" x14ac:dyDescent="0.2">
      <c r="B33" s="7"/>
      <c r="C33" s="59"/>
      <c r="D33" s="60"/>
      <c r="E33" s="59"/>
      <c r="F33" s="60"/>
      <c r="G33" s="59"/>
      <c r="H33" s="60"/>
      <c r="I33" s="61"/>
      <c r="J33" s="62"/>
      <c r="K33" s="15"/>
      <c r="L33" s="20"/>
      <c r="M33" s="71"/>
      <c r="N33" s="72"/>
    </row>
  </sheetData>
  <mergeCells count="111"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</mergeCells>
  <conditionalFormatting sqref="C4:H4">
    <cfRule type="expression" dxfId="4" priority="4" stopIfTrue="1">
      <formula>DAY(C4)&gt;8</formula>
    </cfRule>
  </conditionalFormatting>
  <conditionalFormatting sqref="C8:I10">
    <cfRule type="expression" dxfId="3" priority="3" stopIfTrue="1">
      <formula>AND(DAY(C8)&gt;=1,DAY(C8)&lt;=15)</formula>
    </cfRule>
  </conditionalFormatting>
  <conditionalFormatting sqref="C4:I9">
    <cfRule type="expression" dxfId="2" priority="5">
      <formula>VLOOKUP(DAY(C4),DíasDeTareas,1,FALSE)=DAY(C4)</formula>
    </cfRule>
  </conditionalFormatting>
  <conditionalFormatting sqref="B14:J29 B33:J33">
    <cfRule type="expression" dxfId="1" priority="2">
      <formula>B14&lt;&gt;""</formula>
    </cfRule>
  </conditionalFormatting>
  <conditionalFormatting sqref="B30">
    <cfRule type="expression" dxfId="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28</vt:i4>
      </vt:variant>
    </vt:vector>
  </HeadingPairs>
  <TitlesOfParts>
    <vt:vector size="37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Año_Calendario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Septiembre!Área_de_impresión</vt:lpstr>
      <vt:lpstr>Abril!DíasDeTareas</vt:lpstr>
      <vt:lpstr>Agosto!DíasDeTareas</vt:lpstr>
      <vt:lpstr>Febrero!DíasDeTareas</vt:lpstr>
      <vt:lpstr>Julio!DíasDeTareas</vt:lpstr>
      <vt:lpstr>Junio!DíasDeTareas</vt:lpstr>
      <vt:lpstr>Marzo!DíasDeTareas</vt:lpstr>
      <vt:lpstr>Mayo!DíasDeTareas</vt:lpstr>
      <vt:lpstr>Septiembre!DíasDeTareas</vt:lpstr>
      <vt:lpstr>DíasDeTareas</vt:lpstr>
      <vt:lpstr>Abril!TablaFechasImportantes</vt:lpstr>
      <vt:lpstr>Agosto!TablaFechasImportantes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Transparencia Tecolotlán</cp:lastModifiedBy>
  <cp:lastPrinted>2021-04-29T19:03:14Z</cp:lastPrinted>
  <dcterms:created xsi:type="dcterms:W3CDTF">2015-11-13T18:10:35Z</dcterms:created>
  <dcterms:modified xsi:type="dcterms:W3CDTF">2021-04-29T19:04:18Z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